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555" yWindow="555" windowWidth="20730" windowHeight="11760" activeTab="3"/>
  </bookViews>
  <sheets>
    <sheet name="Q12 sample dillution" sheetId="7" r:id="rId1"/>
    <sheet name="ASV-Sediments (Pb, Zn, Cu)" sheetId="2" r:id="rId2"/>
    <sheet name="Ads. SV-Sediments (Cr)" sheetId="4" r:id="rId3"/>
    <sheet name="ASV-Susp Solids (Pb, Zn, Cu)" sheetId="5" r:id="rId4"/>
    <sheet name="Ads. SV-Susp Solids (Cr)" sheetId="6" r:id="rId5"/>
    <sheet name="Sheet1" sheetId="3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7"/>
  <c r="B18"/>
  <c r="A10" i="6"/>
  <c r="A4"/>
  <c r="A36" i="5"/>
  <c r="A30"/>
  <c r="A23"/>
  <c r="A17"/>
  <c r="A10"/>
  <c r="A4"/>
  <c r="F32"/>
  <c r="A10" i="4"/>
  <c r="A4"/>
  <c r="A4" i="2"/>
  <c r="F30"/>
  <c r="I30"/>
  <c r="J30"/>
  <c r="K30"/>
  <c r="F31"/>
  <c r="I31"/>
  <c r="J31"/>
  <c r="K31"/>
  <c r="F32"/>
  <c r="I32"/>
  <c r="J32"/>
  <c r="K32"/>
  <c r="K36"/>
  <c r="K35"/>
  <c r="J36"/>
  <c r="J35"/>
  <c r="I36"/>
  <c r="I35"/>
  <c r="G30"/>
  <c r="G31"/>
  <c r="G32"/>
  <c r="G36"/>
  <c r="G35"/>
  <c r="F17"/>
  <c r="I17"/>
  <c r="J17"/>
  <c r="K17"/>
  <c r="F18"/>
  <c r="I18"/>
  <c r="J18"/>
  <c r="K18"/>
  <c r="F19"/>
  <c r="I19"/>
  <c r="J19"/>
  <c r="K19"/>
  <c r="K23"/>
  <c r="K22"/>
  <c r="J22"/>
  <c r="I23"/>
  <c r="I22"/>
  <c r="F4"/>
  <c r="I4"/>
  <c r="J4"/>
  <c r="K4"/>
  <c r="F5"/>
  <c r="I5"/>
  <c r="J5"/>
  <c r="K5"/>
  <c r="F6"/>
  <c r="I6"/>
  <c r="J6"/>
  <c r="K6"/>
  <c r="K10"/>
  <c r="K9"/>
  <c r="J10"/>
  <c r="J9"/>
  <c r="I10"/>
  <c r="I9"/>
  <c r="G4"/>
  <c r="G5"/>
  <c r="G6"/>
  <c r="G10"/>
  <c r="G9"/>
  <c r="I37"/>
  <c r="J37"/>
  <c r="K37"/>
  <c r="J23"/>
  <c r="I24"/>
  <c r="J24"/>
  <c r="K24"/>
  <c r="I11"/>
  <c r="J11"/>
  <c r="K11"/>
  <c r="A30"/>
  <c r="A36"/>
  <c r="A23"/>
  <c r="A17"/>
  <c r="G19"/>
  <c r="G17"/>
  <c r="A10"/>
  <c r="F5" i="6"/>
  <c r="F6"/>
  <c r="I6"/>
  <c r="J6"/>
  <c r="K6"/>
  <c r="F4"/>
  <c r="I4"/>
  <c r="G5"/>
  <c r="I5"/>
  <c r="J5"/>
  <c r="K5"/>
  <c r="I9"/>
  <c r="J4"/>
  <c r="G4"/>
  <c r="I32" i="5"/>
  <c r="J32"/>
  <c r="K32"/>
  <c r="G32"/>
  <c r="F5"/>
  <c r="F17"/>
  <c r="F19"/>
  <c r="F31"/>
  <c r="F4"/>
  <c r="F6"/>
  <c r="F18"/>
  <c r="F30"/>
  <c r="F5" i="4"/>
  <c r="F4"/>
  <c r="F6"/>
  <c r="G18" i="2"/>
  <c r="G23"/>
  <c r="G22"/>
  <c r="G6" i="6"/>
  <c r="I10"/>
  <c r="I11"/>
  <c r="J10"/>
  <c r="J9"/>
  <c r="K4"/>
  <c r="G10"/>
  <c r="G9"/>
  <c r="I30" i="5"/>
  <c r="G30"/>
  <c r="I6"/>
  <c r="J6"/>
  <c r="K6"/>
  <c r="G6"/>
  <c r="G31"/>
  <c r="I31"/>
  <c r="J31"/>
  <c r="K31"/>
  <c r="G17"/>
  <c r="I17"/>
  <c r="I18"/>
  <c r="J18"/>
  <c r="K18"/>
  <c r="G18"/>
  <c r="I4"/>
  <c r="G4"/>
  <c r="G19"/>
  <c r="I19"/>
  <c r="J19"/>
  <c r="K19"/>
  <c r="G5"/>
  <c r="I5"/>
  <c r="J5"/>
  <c r="K5"/>
  <c r="I6" i="4"/>
  <c r="J6"/>
  <c r="K6"/>
  <c r="G6"/>
  <c r="I4"/>
  <c r="G4"/>
  <c r="G5"/>
  <c r="I5"/>
  <c r="J5"/>
  <c r="K5"/>
  <c r="G37" i="2"/>
  <c r="G24"/>
  <c r="J11" i="6"/>
  <c r="K10"/>
  <c r="K9"/>
  <c r="G11"/>
  <c r="G10" i="5"/>
  <c r="G9"/>
  <c r="I23"/>
  <c r="J17"/>
  <c r="I22"/>
  <c r="G36"/>
  <c r="G35"/>
  <c r="I9"/>
  <c r="J4"/>
  <c r="I10"/>
  <c r="I11"/>
  <c r="G22"/>
  <c r="G23"/>
  <c r="I35"/>
  <c r="I36"/>
  <c r="J30"/>
  <c r="G10" i="4"/>
  <c r="G9"/>
  <c r="I9"/>
  <c r="J4"/>
  <c r="I10"/>
  <c r="I11"/>
  <c r="G11" i="2"/>
  <c r="I37" i="5"/>
  <c r="G37"/>
  <c r="G24"/>
  <c r="K11" i="6"/>
  <c r="J22" i="5"/>
  <c r="J23"/>
  <c r="J24"/>
  <c r="K17"/>
  <c r="J36"/>
  <c r="K30"/>
  <c r="J35"/>
  <c r="J10"/>
  <c r="K4"/>
  <c r="J9"/>
  <c r="I24"/>
  <c r="G11"/>
  <c r="J10" i="4"/>
  <c r="K4"/>
  <c r="J9"/>
  <c r="G11"/>
  <c r="K9" i="5"/>
  <c r="K10"/>
  <c r="K11"/>
  <c r="K35"/>
  <c r="K36"/>
  <c r="K23"/>
  <c r="K22"/>
  <c r="J37"/>
  <c r="J11"/>
  <c r="K9" i="4"/>
  <c r="K10"/>
  <c r="K11"/>
  <c r="J11"/>
  <c r="K37" i="5"/>
  <c r="K24"/>
</calcChain>
</file>

<file path=xl/sharedStrings.xml><?xml version="1.0" encoding="utf-8"?>
<sst xmlns="http://schemas.openxmlformats.org/spreadsheetml/2006/main" count="194" uniqueCount="70">
  <si>
    <t>Working Std conc</t>
  </si>
  <si>
    <t>ppm</t>
  </si>
  <si>
    <t>ppb</t>
  </si>
  <si>
    <t>(10 into 500)</t>
  </si>
  <si>
    <t>target = 0.1998</t>
  </si>
  <si>
    <t>ppm (stock std)</t>
  </si>
  <si>
    <t>avg</t>
  </si>
  <si>
    <t>stdev</t>
  </si>
  <si>
    <t>RSD</t>
  </si>
  <si>
    <t>I (1) / uA</t>
  </si>
  <si>
    <t>I (2) / uA</t>
  </si>
  <si>
    <t>x 20 (ppm)</t>
  </si>
  <si>
    <t>x 0.100 L (mg)</t>
  </si>
  <si>
    <t>ug/g</t>
  </si>
  <si>
    <t>Determination of Pb in Sediment Samples</t>
  </si>
  <si>
    <t>Determination of Cu in Sediment Samples</t>
  </si>
  <si>
    <t>Determination of Zn in Sediment Samples</t>
  </si>
  <si>
    <t>mass Zn</t>
  </si>
  <si>
    <t>target = 1.0000</t>
  </si>
  <si>
    <t>(5 into 1000)</t>
  </si>
  <si>
    <t>mass Pb(NO3)2</t>
  </si>
  <si>
    <t>mass CuCl2 . 2H20</t>
  </si>
  <si>
    <t>target = 0.3354</t>
  </si>
  <si>
    <t>Pb</t>
  </si>
  <si>
    <t>Zn</t>
  </si>
  <si>
    <t>Cu</t>
  </si>
  <si>
    <t>Stock standard: Weigh out lead nitrate to prepare 250.0 ppm Pb (weigh 0.1998 g and diute to 500.0 mL).</t>
  </si>
  <si>
    <t>and diluted for working standard. Here I have the students prepare the standards from scratch and calculate concentrations.</t>
  </si>
  <si>
    <t>To simpify or shorten the problem, I could have students start with the 1000 ppm standards rather than solid materials.</t>
  </si>
  <si>
    <t>Stock standard: Prepare 1000 ppm Zn - weigh out 1.0000 g Zn(s); dissolve in con HCl and dilute to 1.000 L.</t>
  </si>
  <si>
    <t>Stock standard: Weigh out cupric chloride to prepare 250.0 ppm Cu (weigh 0.3354 g and diute to 500.0 mL).</t>
  </si>
  <si>
    <t>In the paper Locatelli 1999, they used 1000 ppm standard solutions (purchased)</t>
  </si>
  <si>
    <t>Working standard: Dilute 250.0 ppm standard to 5.000 ppm (10.00 mL into 500.0 mL) with appropriate electrolyte</t>
  </si>
  <si>
    <t>Working standard: dilute to 5.00 ppm (5.00 mL of stock into 1000.0 mL) with appropriate electrolyte</t>
  </si>
  <si>
    <t>Sample preparation is described in the document: briefly, 1 g sediment samples were acid digetsted and diluted</t>
  </si>
  <si>
    <t>to 100 mL. This solution was diluted by a factor of 20 with appropriate electrolyte. The analysis was performed</t>
  </si>
  <si>
    <t>on this second solution.</t>
  </si>
  <si>
    <t>Determination of Cr in Sediment Samples</t>
  </si>
  <si>
    <t>Stock standard: 1000 mg/L standard solution is diluted appropriately</t>
  </si>
  <si>
    <t>Stock Standard conc (ppm)</t>
  </si>
  <si>
    <t>The analysis was performed on this second solution.</t>
  </si>
  <si>
    <t>to 100 mL. This solution was diluted by a factor of 20 with the following solution:</t>
  </si>
  <si>
    <t xml:space="preserve">0.01 M DTPA (complexing agent), 0.04 M sodium acetate (buffer), and 0.5 M sodium nitrate (pH 5.6) </t>
  </si>
  <si>
    <t>The analysis was performed on 10.00 mL this second solution.</t>
  </si>
  <si>
    <t>Cr</t>
  </si>
  <si>
    <t>I (1) corresponds to the peak current from a scan of this solution</t>
  </si>
  <si>
    <t>I (2) corresponds to the peak current after addition of a 100 uL spike of chromium standard</t>
  </si>
  <si>
    <t>Modified from Wang 1997 and Locatelli 1999</t>
  </si>
  <si>
    <t>Determination of Pb in Suspended Solids</t>
  </si>
  <si>
    <t>Determination of Zn in Suspended Solids</t>
  </si>
  <si>
    <t>Determination of Cu in Suspended Solids</t>
  </si>
  <si>
    <t xml:space="preserve">Sample preparation: Water samples were collected and filtered to obtain 1 g (dry weight) of suspended solids. </t>
  </si>
  <si>
    <t xml:space="preserve">The solids were acid digetsted and diluted to 100 mL. This solution was diluted by a factor of 20 with appropriate electrolyte. </t>
  </si>
  <si>
    <t>The solids were acid digetsted and diluted to 100 mL. This solution was diluted by a factor of 20 with appropriate electrolyte:</t>
  </si>
  <si>
    <t>Sample calc for dilution of Lake Nakuru samples</t>
  </si>
  <si>
    <t>Step 1: Solid sampled and dried</t>
  </si>
  <si>
    <t>typical sample concentration in solid (ug/g)</t>
  </si>
  <si>
    <t>Step 2: 1.0 g of dried solid removed</t>
  </si>
  <si>
    <t>Step 3: the 1.0 g of dried solid was digested and diluted to 100.0 mL</t>
  </si>
  <si>
    <t>expected concentration</t>
  </si>
  <si>
    <t>ug/L</t>
  </si>
  <si>
    <t>( ug/g *  g ) / L</t>
  </si>
  <si>
    <t>(ppb)</t>
  </si>
  <si>
    <t>Step 4: This solution was diluted 1:20 before electrochemical analysis</t>
  </si>
  <si>
    <t>Final Concentration</t>
  </si>
  <si>
    <t xml:space="preserve"> above conc /20</t>
  </si>
  <si>
    <t>Question 12</t>
  </si>
  <si>
    <t>Note: this question and answer take into consideration the sediment and suspended solid samples described in Nelson 1998</t>
  </si>
  <si>
    <t>(which analyses samples by XRF and AAS) and the sample preparation described in Locatelli 1999, which prepares sediment samples for ASV analysis.</t>
  </si>
  <si>
    <t xml:space="preserve">11 - 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</si>
</sst>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"/>
    <numFmt numFmtId="167" formatCode="0.00000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7" xfId="0" applyNumberFormat="1" applyFill="1" applyBorder="1"/>
    <xf numFmtId="0" fontId="0" fillId="0" borderId="0" xfId="0" applyBorder="1" applyAlignment="1">
      <alignment horizontal="center"/>
    </xf>
    <xf numFmtId="166" fontId="0" fillId="0" borderId="0" xfId="0" applyNumberFormat="1"/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4" borderId="2" xfId="0" applyNumberFormat="1" applyFill="1" applyBorder="1"/>
    <xf numFmtId="167" fontId="0" fillId="0" borderId="0" xfId="0" applyNumberFormat="1" applyAlignment="1">
      <alignment horizontal="center"/>
    </xf>
    <xf numFmtId="165" fontId="1" fillId="4" borderId="3" xfId="0" applyNumberFormat="1" applyFont="1" applyFill="1" applyBorder="1"/>
    <xf numFmtId="166" fontId="1" fillId="4" borderId="4" xfId="0" applyNumberFormat="1" applyFont="1" applyFill="1" applyBorder="1"/>
    <xf numFmtId="165" fontId="1" fillId="4" borderId="5" xfId="0" applyNumberFormat="1" applyFont="1" applyFill="1" applyBorder="1"/>
    <xf numFmtId="166" fontId="1" fillId="4" borderId="6" xfId="0" applyNumberFormat="1" applyFont="1" applyFill="1" applyBorder="1"/>
    <xf numFmtId="0" fontId="1" fillId="4" borderId="8" xfId="0" applyFont="1" applyFill="1" applyBorder="1" applyAlignment="1">
      <alignment horizontal="right"/>
    </xf>
    <xf numFmtId="165" fontId="0" fillId="4" borderId="9" xfId="0" applyNumberFormat="1" applyFill="1" applyBorder="1"/>
    <xf numFmtId="166" fontId="1" fillId="4" borderId="10" xfId="0" applyNumberFormat="1" applyFont="1" applyFill="1" applyBorder="1"/>
    <xf numFmtId="0" fontId="1" fillId="4" borderId="3" xfId="0" applyFont="1" applyFill="1" applyBorder="1" applyAlignment="1">
      <alignment horizontal="right"/>
    </xf>
    <xf numFmtId="0" fontId="0" fillId="4" borderId="0" xfId="0" applyFill="1" applyBorder="1"/>
    <xf numFmtId="166" fontId="1" fillId="4" borderId="4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0" fillId="4" borderId="1" xfId="0" applyFill="1" applyBorder="1"/>
    <xf numFmtId="164" fontId="1" fillId="4" borderId="6" xfId="0" applyNumberFormat="1" applyFont="1" applyFill="1" applyBorder="1"/>
    <xf numFmtId="165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0" borderId="0" xfId="0" applyFont="1"/>
    <xf numFmtId="165" fontId="0" fillId="0" borderId="9" xfId="0" applyNumberForma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9" borderId="0" xfId="0" applyFont="1" applyFill="1"/>
    <xf numFmtId="0" fontId="0" fillId="6" borderId="0" xfId="0" applyFill="1" applyAlignment="1">
      <alignment horizontal="center"/>
    </xf>
    <xf numFmtId="0" fontId="3" fillId="6" borderId="0" xfId="0" applyFont="1" applyFill="1"/>
    <xf numFmtId="0" fontId="3" fillId="5" borderId="0" xfId="0" applyFont="1" applyFill="1"/>
    <xf numFmtId="0" fontId="3" fillId="7" borderId="0" xfId="0" applyFont="1" applyFill="1"/>
    <xf numFmtId="0" fontId="2" fillId="0" borderId="0" xfId="0" applyFont="1" applyAlignment="1">
      <alignment horizontal="left"/>
    </xf>
    <xf numFmtId="0" fontId="2" fillId="3" borderId="0" xfId="0" applyFont="1" applyFill="1"/>
    <xf numFmtId="0" fontId="0" fillId="3" borderId="0" xfId="0" applyFill="1"/>
    <xf numFmtId="0" fontId="2" fillId="10" borderId="0" xfId="0" applyFont="1" applyFill="1"/>
    <xf numFmtId="0" fontId="0" fillId="10" borderId="0" xfId="0" applyFill="1"/>
    <xf numFmtId="0" fontId="2" fillId="10" borderId="0" xfId="0" applyFont="1" applyFill="1" applyAlignment="1">
      <alignment horizontal="left"/>
    </xf>
    <xf numFmtId="0" fontId="0" fillId="9" borderId="0" xfId="0" applyFill="1"/>
    <xf numFmtId="0" fontId="1" fillId="0" borderId="0" xfId="0" applyFont="1"/>
    <xf numFmtId="166" fontId="0" fillId="2" borderId="7" xfId="0" applyNumberForma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/>
    </xf>
    <xf numFmtId="0" fontId="3" fillId="11" borderId="0" xfId="0" applyFont="1" applyFill="1"/>
    <xf numFmtId="0" fontId="1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2" fillId="11" borderId="0" xfId="0" applyFont="1" applyFill="1"/>
    <xf numFmtId="0" fontId="0" fillId="11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1" fillId="0" borderId="0" xfId="0" applyNumberFormat="1" applyFont="1" applyFill="1" applyBorder="1"/>
    <xf numFmtId="166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7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166" fontId="0" fillId="0" borderId="0" xfId="0" applyNumberFormat="1" applyFill="1" applyBorder="1"/>
    <xf numFmtId="166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0" fontId="3" fillId="0" borderId="0" xfId="0" applyFont="1"/>
    <xf numFmtId="0" fontId="0" fillId="12" borderId="0" xfId="0" applyFill="1"/>
    <xf numFmtId="166" fontId="0" fillId="12" borderId="0" xfId="0" applyNumberFormat="1" applyFill="1"/>
    <xf numFmtId="0" fontId="0" fillId="1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B5" sqref="B5"/>
    </sheetView>
  </sheetViews>
  <sheetFormatPr defaultColWidth="11.42578125" defaultRowHeight="12.75"/>
  <cols>
    <col min="1" max="1" width="18.7109375" bestFit="1" customWidth="1"/>
  </cols>
  <sheetData>
    <row r="1" spans="1:4" s="82" customFormat="1" ht="15">
      <c r="A1" s="82" t="s">
        <v>66</v>
      </c>
      <c r="B1" s="82" t="s">
        <v>54</v>
      </c>
    </row>
    <row r="3" spans="1:4" s="52" customFormat="1">
      <c r="B3" s="52" t="s">
        <v>56</v>
      </c>
    </row>
    <row r="4" spans="1:4">
      <c r="B4" s="83">
        <v>147</v>
      </c>
    </row>
    <row r="6" spans="1:4">
      <c r="B6" t="s">
        <v>55</v>
      </c>
    </row>
    <row r="8" spans="1:4">
      <c r="B8" t="s">
        <v>57</v>
      </c>
    </row>
    <row r="9" spans="1:4">
      <c r="B9" s="84">
        <v>1</v>
      </c>
    </row>
    <row r="11" spans="1:4">
      <c r="B11" t="s">
        <v>58</v>
      </c>
    </row>
    <row r="13" spans="1:4">
      <c r="A13" s="83" t="s">
        <v>59</v>
      </c>
      <c r="B13" s="83">
        <f>B4*B9/0.1</f>
        <v>1470</v>
      </c>
      <c r="C13" s="83" t="s">
        <v>60</v>
      </c>
      <c r="D13" s="83" t="s">
        <v>62</v>
      </c>
    </row>
    <row r="14" spans="1:4">
      <c r="A14" s="83" t="s">
        <v>61</v>
      </c>
      <c r="B14" s="83"/>
      <c r="C14" s="83"/>
      <c r="D14" s="83"/>
    </row>
    <row r="16" spans="1:4">
      <c r="B16" t="s">
        <v>63</v>
      </c>
    </row>
    <row r="18" spans="1:4">
      <c r="A18" s="85" t="s">
        <v>64</v>
      </c>
      <c r="B18" s="85">
        <f>B13/20</f>
        <v>73.5</v>
      </c>
      <c r="C18" s="85" t="s">
        <v>60</v>
      </c>
      <c r="D18" s="85" t="s">
        <v>62</v>
      </c>
    </row>
    <row r="19" spans="1:4">
      <c r="A19" s="85" t="s">
        <v>65</v>
      </c>
      <c r="B19" s="85"/>
      <c r="C19" s="85"/>
      <c r="D19" s="85"/>
    </row>
    <row r="22" spans="1:4">
      <c r="A22" t="s">
        <v>67</v>
      </c>
    </row>
    <row r="23" spans="1:4">
      <c r="A23" t="s">
        <v>68</v>
      </c>
    </row>
    <row r="26" spans="1:4">
      <c r="B26" t="s">
        <v>69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topLeftCell="B1" workbookViewId="0">
      <selection activeCell="I60" sqref="I60"/>
    </sheetView>
  </sheetViews>
  <sheetFormatPr defaultColWidth="8.85546875" defaultRowHeight="12.75"/>
  <cols>
    <col min="2" max="2" width="17.140625" style="1" customWidth="1"/>
    <col min="3" max="3" width="8.85546875" style="1"/>
    <col min="4" max="4" width="11.140625" style="1" customWidth="1"/>
    <col min="5" max="5" width="12.42578125" customWidth="1"/>
    <col min="7" max="7" width="10.7109375" bestFit="1" customWidth="1"/>
    <col min="9" max="9" width="12" style="1" bestFit="1" customWidth="1"/>
    <col min="10" max="10" width="13.140625" style="1" bestFit="1" customWidth="1"/>
    <col min="11" max="11" width="8.85546875" style="1"/>
  </cols>
  <sheetData>
    <row r="1" spans="1:22" ht="15">
      <c r="A1" s="42" t="s">
        <v>14</v>
      </c>
      <c r="B1" s="35"/>
      <c r="C1" s="35"/>
      <c r="D1" s="41"/>
      <c r="M1" s="32" t="s">
        <v>31</v>
      </c>
    </row>
    <row r="2" spans="1:22">
      <c r="K2" s="37" t="s">
        <v>23</v>
      </c>
      <c r="M2" s="32" t="s">
        <v>27</v>
      </c>
    </row>
    <row r="3" spans="1:22">
      <c r="A3" t="s">
        <v>0</v>
      </c>
      <c r="C3" s="2" t="s">
        <v>9</v>
      </c>
      <c r="D3" s="2" t="s">
        <v>10</v>
      </c>
      <c r="F3" t="s">
        <v>1</v>
      </c>
      <c r="G3" t="s">
        <v>2</v>
      </c>
      <c r="I3" s="11" t="s">
        <v>11</v>
      </c>
      <c r="J3" s="11" t="s">
        <v>12</v>
      </c>
      <c r="K3" s="11" t="s">
        <v>13</v>
      </c>
      <c r="L3" s="45"/>
      <c r="M3" s="45" t="s">
        <v>28</v>
      </c>
    </row>
    <row r="4" spans="1:22">
      <c r="A4" s="14">
        <f>(A8/0.5)*(207.2/331.2)*1000*(10/500)</f>
        <v>4.9798067632850245</v>
      </c>
      <c r="B4" s="1" t="s">
        <v>3</v>
      </c>
      <c r="C4" s="3">
        <v>0.1011</v>
      </c>
      <c r="D4" s="4">
        <v>0.30449999999999999</v>
      </c>
      <c r="E4" s="5"/>
      <c r="F4" s="16">
        <f>(C4*A$4*0.1/10.1)/(D4-(C4*10/10.1))</f>
        <v>2.4387050486479014E-2</v>
      </c>
      <c r="G4" s="17">
        <f t="shared" ref="G4:G6" si="0">F4*1000</f>
        <v>24.387050486479012</v>
      </c>
      <c r="I4" s="29">
        <f>F4*20</f>
        <v>0.48774100972958029</v>
      </c>
      <c r="J4" s="30">
        <f>0.1*I4</f>
        <v>4.8774100972958034E-2</v>
      </c>
      <c r="K4" s="31">
        <f>J4*1000</f>
        <v>48.774100972958031</v>
      </c>
    </row>
    <row r="5" spans="1:22">
      <c r="C5" s="3">
        <v>0.1008</v>
      </c>
      <c r="D5" s="4">
        <v>0.30259999999999998</v>
      </c>
      <c r="E5" s="5"/>
      <c r="F5" s="16">
        <f>(C5*A$4*0.1/10.1)/(D5-(C5*10/10.1))</f>
        <v>2.4506875188654301E-2</v>
      </c>
      <c r="G5" s="17">
        <f t="shared" si="0"/>
        <v>24.506875188654302</v>
      </c>
      <c r="I5" s="29">
        <f t="shared" ref="I5:I6" si="1">F5*20</f>
        <v>0.49013750377308601</v>
      </c>
      <c r="J5" s="30">
        <f t="shared" ref="J5:J6" si="2">0.1*I5</f>
        <v>4.9013750377308603E-2</v>
      </c>
      <c r="K5" s="31">
        <f t="shared" ref="K5:K6" si="3">J5*1000</f>
        <v>49.013750377308604</v>
      </c>
      <c r="M5" s="46" t="s">
        <v>26</v>
      </c>
      <c r="N5" s="47"/>
      <c r="O5" s="47"/>
      <c r="P5" s="47"/>
      <c r="Q5" s="47"/>
      <c r="R5" s="47"/>
      <c r="S5" s="47"/>
      <c r="T5" s="47"/>
      <c r="U5" s="47"/>
      <c r="V5" s="47"/>
    </row>
    <row r="6" spans="1:22">
      <c r="C6" s="3">
        <v>0.1205</v>
      </c>
      <c r="D6" s="4">
        <v>0.32250000000000001</v>
      </c>
      <c r="E6" s="5"/>
      <c r="F6" s="16">
        <f>(C6*A$4*0.1/10.1)/(D6-(C6*10/10.1))</f>
        <v>2.9239454987250356E-2</v>
      </c>
      <c r="G6" s="17">
        <f t="shared" si="0"/>
        <v>29.239454987250355</v>
      </c>
      <c r="I6" s="29">
        <f t="shared" si="1"/>
        <v>0.58478909974500715</v>
      </c>
      <c r="J6" s="30">
        <f t="shared" si="2"/>
        <v>5.8478909974500719E-2</v>
      </c>
      <c r="K6" s="31">
        <f t="shared" si="3"/>
        <v>58.478909974500716</v>
      </c>
      <c r="M6" s="46" t="s">
        <v>32</v>
      </c>
      <c r="N6" s="47"/>
      <c r="O6" s="47"/>
      <c r="P6" s="47"/>
      <c r="Q6" s="47"/>
      <c r="R6" s="47"/>
      <c r="S6" s="47"/>
      <c r="T6" s="47"/>
      <c r="U6" s="47"/>
      <c r="V6" s="47"/>
    </row>
    <row r="7" spans="1:22" ht="13.5" thickBot="1">
      <c r="A7" s="32" t="s">
        <v>20</v>
      </c>
      <c r="C7" s="6"/>
      <c r="D7" s="7"/>
      <c r="F7" s="18"/>
      <c r="G7" s="19"/>
      <c r="J7" s="15"/>
    </row>
    <row r="8" spans="1:22" ht="13.5" thickBot="1">
      <c r="A8" s="8">
        <v>0.19900000000000001</v>
      </c>
      <c r="B8" s="1" t="s">
        <v>4</v>
      </c>
      <c r="C8" s="33"/>
      <c r="D8" s="33"/>
    </row>
    <row r="9" spans="1:22">
      <c r="C9" s="9"/>
      <c r="D9" s="9"/>
      <c r="E9" s="20" t="s">
        <v>6</v>
      </c>
      <c r="F9" s="21"/>
      <c r="G9" s="22">
        <f>AVERAGE(G4:G6)</f>
        <v>26.044460220794559</v>
      </c>
      <c r="H9" s="22"/>
      <c r="I9" s="22">
        <f>AVERAGE(I4:I6)</f>
        <v>0.52088920441589115</v>
      </c>
      <c r="J9" s="22">
        <f>AVERAGE(J4:J6)</f>
        <v>5.2088920441589116E-2</v>
      </c>
      <c r="K9" s="22">
        <f>AVERAGE(K4:K6)</f>
        <v>52.088920441589117</v>
      </c>
    </row>
    <row r="10" spans="1:22">
      <c r="A10" s="10">
        <f>(A8/0.5)*(207.2/331.2)*1000</f>
        <v>248.99033816425123</v>
      </c>
      <c r="B10" s="1" t="s">
        <v>5</v>
      </c>
      <c r="C10" s="9"/>
      <c r="D10" s="9"/>
      <c r="E10" s="23" t="s">
        <v>7</v>
      </c>
      <c r="F10" s="24"/>
      <c r="G10" s="25">
        <f>STDEV(G4:G6)</f>
        <v>2.7675951940399099</v>
      </c>
      <c r="H10" s="25"/>
      <c r="I10" s="25">
        <f>STDEV(I4:I6)</f>
        <v>5.535190388079822E-2</v>
      </c>
      <c r="J10" s="25">
        <f>STDEV(J4:J6)</f>
        <v>5.5351903880798223E-3</v>
      </c>
      <c r="K10" s="25">
        <f>STDEV(K4:K6)</f>
        <v>5.5351903880798217</v>
      </c>
    </row>
    <row r="11" spans="1:22">
      <c r="C11" s="9"/>
      <c r="D11" s="9"/>
      <c r="E11" s="26" t="s">
        <v>8</v>
      </c>
      <c r="F11" s="27"/>
      <c r="G11" s="28">
        <f>G10/G9</f>
        <v>0.10626425622099059</v>
      </c>
      <c r="H11" s="28"/>
      <c r="I11" s="28">
        <f t="shared" ref="I11:K11" si="4">I10/I9</f>
        <v>0.10626425622099063</v>
      </c>
      <c r="J11" s="28">
        <f t="shared" si="4"/>
        <v>0.10626425622099063</v>
      </c>
      <c r="K11" s="28">
        <f t="shared" si="4"/>
        <v>0.10626425622099062</v>
      </c>
    </row>
    <row r="12" spans="1:22">
      <c r="C12" s="9"/>
      <c r="D12" s="9"/>
    </row>
    <row r="13" spans="1:22">
      <c r="C13" s="9"/>
      <c r="D13" s="9"/>
      <c r="E13" s="12"/>
      <c r="F13" s="1"/>
      <c r="G13" s="1"/>
    </row>
    <row r="14" spans="1:22" ht="15">
      <c r="A14" s="43" t="s">
        <v>16</v>
      </c>
      <c r="B14" s="39"/>
      <c r="C14" s="39"/>
      <c r="D14" s="39"/>
    </row>
    <row r="15" spans="1:22">
      <c r="K15" s="34" t="s">
        <v>24</v>
      </c>
      <c r="M15" s="48" t="s">
        <v>29</v>
      </c>
      <c r="N15" s="49"/>
      <c r="O15" s="49"/>
      <c r="P15" s="49"/>
      <c r="Q15" s="49"/>
      <c r="R15" s="49"/>
      <c r="S15" s="49"/>
      <c r="T15" s="49"/>
      <c r="U15" s="49"/>
      <c r="V15" s="49"/>
    </row>
    <row r="16" spans="1:22">
      <c r="A16" t="s">
        <v>0</v>
      </c>
      <c r="C16" s="2" t="s">
        <v>9</v>
      </c>
      <c r="D16" s="2" t="s">
        <v>10</v>
      </c>
      <c r="F16" t="s">
        <v>1</v>
      </c>
      <c r="G16" t="s">
        <v>2</v>
      </c>
      <c r="I16" s="11" t="s">
        <v>11</v>
      </c>
      <c r="J16" s="11" t="s">
        <v>12</v>
      </c>
      <c r="K16" s="11" t="s">
        <v>13</v>
      </c>
      <c r="M16" s="50" t="s">
        <v>33</v>
      </c>
      <c r="N16" s="49"/>
      <c r="O16" s="49"/>
      <c r="P16" s="49"/>
      <c r="Q16" s="49"/>
      <c r="R16" s="49"/>
      <c r="S16" s="49"/>
      <c r="T16" s="49"/>
      <c r="U16" s="49"/>
      <c r="V16" s="49"/>
    </row>
    <row r="17" spans="1:22">
      <c r="A17" s="14">
        <f>A23*5/1000</f>
        <v>5.0055000000000005</v>
      </c>
      <c r="B17" s="13" t="s">
        <v>19</v>
      </c>
      <c r="C17" s="3">
        <v>0.21340000000000001</v>
      </c>
      <c r="D17" s="4">
        <v>0.31519999999999998</v>
      </c>
      <c r="E17" s="5"/>
      <c r="F17" s="16">
        <f>(C17*A$4*0.1/10.1)/(D17-(C17*10/10.1))</f>
        <v>0.10125493209133932</v>
      </c>
      <c r="G17" s="17">
        <f t="shared" ref="G17:G19" si="5">F17*1000</f>
        <v>101.25493209133931</v>
      </c>
      <c r="I17" s="29">
        <f>F17*20</f>
        <v>2.0250986418267862</v>
      </c>
      <c r="J17" s="30">
        <f>0.1*I17</f>
        <v>0.20250986418267863</v>
      </c>
      <c r="K17" s="31">
        <f>J17*1000</f>
        <v>202.50986418267863</v>
      </c>
    </row>
    <row r="18" spans="1:22">
      <c r="C18" s="3">
        <v>0.21590000000000001</v>
      </c>
      <c r="D18" s="4">
        <v>0.3165</v>
      </c>
      <c r="E18" s="5"/>
      <c r="F18" s="16">
        <f>(C18*A$4*0.1/10.1)/(D18-(C18*10/10.1))</f>
        <v>0.10361299862123424</v>
      </c>
      <c r="G18" s="17">
        <f t="shared" si="5"/>
        <v>103.61299862123424</v>
      </c>
      <c r="I18" s="29">
        <f t="shared" ref="I18:I19" si="6">F18*20</f>
        <v>2.0722599724246846</v>
      </c>
      <c r="J18" s="30">
        <f t="shared" ref="J18:J19" si="7">0.1*I18</f>
        <v>0.20722599724246848</v>
      </c>
      <c r="K18" s="31">
        <f t="shared" ref="K18:K19" si="8">J18*1000</f>
        <v>207.22599724246848</v>
      </c>
    </row>
    <row r="19" spans="1:22">
      <c r="C19" s="3">
        <v>0.22</v>
      </c>
      <c r="D19" s="4">
        <v>0.3251</v>
      </c>
      <c r="E19" s="5"/>
      <c r="F19" s="16">
        <f>(C19*A$4*0.1/10.1)/(D19-(C19*10/10.1))</f>
        <v>0.10111189448391854</v>
      </c>
      <c r="G19" s="17">
        <f t="shared" si="5"/>
        <v>101.11189448391853</v>
      </c>
      <c r="I19" s="29">
        <f t="shared" si="6"/>
        <v>2.0222378896783706</v>
      </c>
      <c r="J19" s="30">
        <f t="shared" si="7"/>
        <v>0.20222378896783708</v>
      </c>
      <c r="K19" s="31">
        <f t="shared" si="8"/>
        <v>202.22378896783707</v>
      </c>
    </row>
    <row r="20" spans="1:22" ht="13.5" thickBot="1">
      <c r="A20" s="32" t="s">
        <v>17</v>
      </c>
      <c r="C20" s="6"/>
      <c r="D20" s="7"/>
      <c r="F20" s="18"/>
      <c r="G20" s="19"/>
      <c r="J20" s="15"/>
    </row>
    <row r="21" spans="1:22" ht="13.5" thickBot="1">
      <c r="A21" s="8">
        <v>1.0011000000000001</v>
      </c>
      <c r="B21" s="13" t="s">
        <v>18</v>
      </c>
      <c r="C21" s="33"/>
      <c r="D21" s="33"/>
    </row>
    <row r="22" spans="1:22">
      <c r="C22" s="9"/>
      <c r="D22" s="9"/>
      <c r="E22" s="20" t="s">
        <v>6</v>
      </c>
      <c r="F22" s="21"/>
      <c r="G22" s="22">
        <f>AVERAGE(G17:G18)</f>
        <v>102.43396535628678</v>
      </c>
      <c r="H22" s="22"/>
      <c r="I22" s="22">
        <f>AVERAGE(I17:I19)</f>
        <v>2.0398655013099471</v>
      </c>
      <c r="J22" s="22">
        <f>AVERAGE(J17:J19)</f>
        <v>0.20398655013099473</v>
      </c>
      <c r="K22" s="22">
        <f>AVERAGE(K17:K19)</f>
        <v>203.98655013099471</v>
      </c>
    </row>
    <row r="23" spans="1:22">
      <c r="A23" s="10">
        <f>(A21)*1000</f>
        <v>1001.1000000000001</v>
      </c>
      <c r="B23" s="1" t="s">
        <v>5</v>
      </c>
      <c r="C23" s="9"/>
      <c r="D23" s="9"/>
      <c r="E23" s="23" t="s">
        <v>7</v>
      </c>
      <c r="F23" s="24"/>
      <c r="G23" s="25">
        <f>STDEV(G17:G19)</f>
        <v>1.4045437825289933</v>
      </c>
      <c r="H23" s="25"/>
      <c r="I23" s="25">
        <f>STDEV(I17:I19)</f>
        <v>2.8090875650579793E-2</v>
      </c>
      <c r="J23" s="25">
        <f t="shared" ref="J23" si="9">STDEV(J17:J19)</f>
        <v>2.809087565057984E-3</v>
      </c>
      <c r="K23" s="25">
        <f>STDEV(K17:K19)</f>
        <v>2.8090875650579865</v>
      </c>
    </row>
    <row r="24" spans="1:22">
      <c r="C24" s="9"/>
      <c r="D24" s="9"/>
      <c r="E24" s="26" t="s">
        <v>8</v>
      </c>
      <c r="F24" s="27"/>
      <c r="G24" s="28">
        <f>G23/G22</f>
        <v>1.3711699802342865E-2</v>
      </c>
      <c r="H24" s="28"/>
      <c r="I24" s="28">
        <f t="shared" ref="I24:K24" si="10">I23/I22</f>
        <v>1.3770945012080739E-2</v>
      </c>
      <c r="J24" s="28">
        <f t="shared" si="10"/>
        <v>1.3770945012080761E-2</v>
      </c>
      <c r="K24" s="28">
        <f t="shared" si="10"/>
        <v>1.3770945012080774E-2</v>
      </c>
    </row>
    <row r="27" spans="1:22" ht="15">
      <c r="A27" s="44" t="s">
        <v>15</v>
      </c>
      <c r="B27" s="38"/>
      <c r="C27" s="38"/>
      <c r="D27" s="38"/>
    </row>
    <row r="28" spans="1:22">
      <c r="K28" s="36" t="s">
        <v>25</v>
      </c>
      <c r="M28" s="40" t="s">
        <v>30</v>
      </c>
      <c r="N28" s="51"/>
      <c r="O28" s="51"/>
      <c r="P28" s="51"/>
      <c r="Q28" s="51"/>
      <c r="R28" s="51"/>
      <c r="S28" s="51"/>
      <c r="T28" s="51"/>
      <c r="U28" s="51"/>
      <c r="V28" s="51"/>
    </row>
    <row r="29" spans="1:22">
      <c r="A29" t="s">
        <v>0</v>
      </c>
      <c r="C29" s="2" t="s">
        <v>9</v>
      </c>
      <c r="D29" s="2" t="s">
        <v>10</v>
      </c>
      <c r="F29" t="s">
        <v>1</v>
      </c>
      <c r="G29" t="s">
        <v>2</v>
      </c>
      <c r="I29" s="11" t="s">
        <v>11</v>
      </c>
      <c r="J29" s="11" t="s">
        <v>12</v>
      </c>
      <c r="K29" s="11" t="s">
        <v>13</v>
      </c>
      <c r="M29" s="40" t="s">
        <v>32</v>
      </c>
      <c r="N29" s="51"/>
      <c r="O29" s="51"/>
      <c r="P29" s="51"/>
      <c r="Q29" s="51"/>
      <c r="R29" s="51"/>
      <c r="S29" s="51"/>
      <c r="T29" s="51"/>
      <c r="U29" s="51"/>
      <c r="V29" s="51"/>
    </row>
    <row r="30" spans="1:22">
      <c r="A30" s="14">
        <f>(A34/0.5)*(63.546/170.48)*1000*(10/500)</f>
        <v>5.0007809479117782</v>
      </c>
      <c r="B30" s="1" t="s">
        <v>3</v>
      </c>
      <c r="C30" s="3">
        <v>9.8500000000000004E-2</v>
      </c>
      <c r="D30" s="4">
        <v>0.2</v>
      </c>
      <c r="E30" s="5"/>
      <c r="F30" s="16">
        <f>(C30*A$4*0.1/10.1)/(D30-(C30*10/10.1))</f>
        <v>4.7392363882471013E-2</v>
      </c>
      <c r="G30" s="17">
        <f t="shared" ref="G30:G32" si="11">F30*1000</f>
        <v>47.39236388247101</v>
      </c>
      <c r="I30" s="29">
        <f>F30*20</f>
        <v>0.94784727764942023</v>
      </c>
      <c r="J30" s="30">
        <f>0.1*I30</f>
        <v>9.4784727764942026E-2</v>
      </c>
      <c r="K30" s="31">
        <f>J30*1000</f>
        <v>94.784727764942019</v>
      </c>
    </row>
    <row r="31" spans="1:22">
      <c r="C31" s="3">
        <v>9.9599999999999994E-2</v>
      </c>
      <c r="D31" s="4">
        <v>0.20150000000000001</v>
      </c>
      <c r="E31" s="5"/>
      <c r="F31" s="16">
        <f>(C31*A$4*0.1/10.1)/(D31-(C31*10/10.1))</f>
        <v>4.7730236599450353E-2</v>
      </c>
      <c r="G31" s="17">
        <f t="shared" si="11"/>
        <v>47.73023659945035</v>
      </c>
      <c r="I31" s="29">
        <f t="shared" ref="I31:I32" si="12">F31*20</f>
        <v>0.95460473198900708</v>
      </c>
      <c r="J31" s="30">
        <f t="shared" ref="J31:J32" si="13">0.1*I31</f>
        <v>9.5460473198900719E-2</v>
      </c>
      <c r="K31" s="31">
        <f t="shared" ref="K31:K32" si="14">J31*1000</f>
        <v>95.460473198900715</v>
      </c>
    </row>
    <row r="32" spans="1:22">
      <c r="C32" s="3">
        <v>0.1</v>
      </c>
      <c r="D32" s="4">
        <v>0.2099</v>
      </c>
      <c r="E32" s="5"/>
      <c r="F32" s="16">
        <f>(C32*A$4*0.1/10.1)/(D32-(C32*10/10.1))</f>
        <v>4.4462957377164304E-2</v>
      </c>
      <c r="G32" s="17">
        <f t="shared" si="11"/>
        <v>44.462957377164301</v>
      </c>
      <c r="I32" s="29">
        <f t="shared" si="12"/>
        <v>0.88925914754328605</v>
      </c>
      <c r="J32" s="30">
        <f t="shared" si="13"/>
        <v>8.8925914754328608E-2</v>
      </c>
      <c r="K32" s="31">
        <f t="shared" si="14"/>
        <v>88.925914754328602</v>
      </c>
    </row>
    <row r="33" spans="1:13" ht="13.5" thickBot="1">
      <c r="A33" s="32" t="s">
        <v>21</v>
      </c>
      <c r="C33" s="6"/>
      <c r="D33" s="7"/>
      <c r="F33" s="18"/>
      <c r="G33" s="19"/>
      <c r="J33" s="15"/>
    </row>
    <row r="34" spans="1:13" ht="13.5" thickBot="1">
      <c r="A34" s="8">
        <v>0.33539999999999998</v>
      </c>
      <c r="B34" s="13" t="s">
        <v>22</v>
      </c>
      <c r="C34" s="33"/>
      <c r="D34" s="33"/>
      <c r="M34" s="52" t="s">
        <v>34</v>
      </c>
    </row>
    <row r="35" spans="1:13">
      <c r="C35" s="9"/>
      <c r="D35" s="9"/>
      <c r="E35" s="20" t="s">
        <v>6</v>
      </c>
      <c r="F35" s="21"/>
      <c r="G35" s="22">
        <f>AVERAGE(G30:G32)</f>
        <v>46.528519286361892</v>
      </c>
      <c r="H35" s="22"/>
      <c r="I35" s="22">
        <f>AVERAGE(I30:I32)</f>
        <v>0.93057038572723771</v>
      </c>
      <c r="J35" s="22">
        <f>AVERAGE(J30:J32)</f>
        <v>9.305703857272378E-2</v>
      </c>
      <c r="K35" s="22">
        <f>AVERAGE(K30:K32)</f>
        <v>93.057038572723783</v>
      </c>
      <c r="M35" s="52" t="s">
        <v>35</v>
      </c>
    </row>
    <row r="36" spans="1:13">
      <c r="A36" s="10">
        <f>(A34/0.5)*(63.546/170.48)*1000</f>
        <v>250.03904739558891</v>
      </c>
      <c r="B36" s="1" t="s">
        <v>5</v>
      </c>
      <c r="C36" s="9"/>
      <c r="D36" s="9"/>
      <c r="E36" s="23" t="s">
        <v>7</v>
      </c>
      <c r="F36" s="24"/>
      <c r="G36" s="25">
        <f>STDEV(G30:G32)</f>
        <v>1.7967885222712585</v>
      </c>
      <c r="H36" s="25"/>
      <c r="I36" s="25">
        <f>STDEV(I30:I32)</f>
        <v>3.5935770445425182E-2</v>
      </c>
      <c r="J36" s="25">
        <f>STDEV(J30:J32)</f>
        <v>3.5935770445425213E-3</v>
      </c>
      <c r="K36" s="25">
        <f>STDEV(K30:K32)</f>
        <v>3.5935770445425219</v>
      </c>
      <c r="M36" s="52" t="s">
        <v>36</v>
      </c>
    </row>
    <row r="37" spans="1:13">
      <c r="C37" s="9"/>
      <c r="D37" s="9"/>
      <c r="E37" s="26" t="s">
        <v>8</v>
      </c>
      <c r="F37" s="27"/>
      <c r="G37" s="28">
        <f>G36/G35</f>
        <v>3.8616928925093053E-2</v>
      </c>
      <c r="H37" s="28"/>
      <c r="I37" s="28">
        <f t="shared" ref="I37:K37" si="15">I36/I35</f>
        <v>3.8616928925093073E-2</v>
      </c>
      <c r="J37" s="28">
        <f t="shared" si="15"/>
        <v>3.8616928925093101E-2</v>
      </c>
      <c r="K37" s="28">
        <f t="shared" si="15"/>
        <v>3.8616928925093108E-2</v>
      </c>
    </row>
  </sheetData>
  <pageMargins left="0.75" right="0.75" top="1" bottom="1" header="0.5" footer="0.5"/>
  <pageSetup scale="9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W38"/>
  <sheetViews>
    <sheetView workbookViewId="0">
      <selection activeCell="H29" sqref="H29"/>
    </sheetView>
  </sheetViews>
  <sheetFormatPr defaultColWidth="8.85546875" defaultRowHeight="12.75"/>
  <cols>
    <col min="1" max="1" width="9.42578125" bestFit="1" customWidth="1"/>
    <col min="2" max="2" width="17.140625" style="1" customWidth="1"/>
    <col min="3" max="3" width="8.85546875" style="1"/>
    <col min="4" max="4" width="11.140625" style="1" customWidth="1"/>
    <col min="5" max="5" width="12.42578125" customWidth="1"/>
    <col min="7" max="7" width="10.7109375" bestFit="1" customWidth="1"/>
    <col min="9" max="9" width="12" style="1" bestFit="1" customWidth="1"/>
    <col min="10" max="10" width="13.140625" style="1" bestFit="1" customWidth="1"/>
    <col min="11" max="11" width="8.85546875" style="1"/>
  </cols>
  <sheetData>
    <row r="1" spans="1:23" ht="15">
      <c r="A1" s="57" t="s">
        <v>37</v>
      </c>
      <c r="B1" s="58"/>
      <c r="C1" s="58"/>
      <c r="D1" s="59"/>
      <c r="M1" s="52" t="s">
        <v>47</v>
      </c>
    </row>
    <row r="2" spans="1:23">
      <c r="K2" s="58" t="s">
        <v>44</v>
      </c>
      <c r="M2" s="32"/>
    </row>
    <row r="3" spans="1:23">
      <c r="A3" t="s">
        <v>0</v>
      </c>
      <c r="C3" s="2" t="s">
        <v>9</v>
      </c>
      <c r="D3" s="2" t="s">
        <v>10</v>
      </c>
      <c r="F3" t="s">
        <v>1</v>
      </c>
      <c r="G3" t="s">
        <v>2</v>
      </c>
      <c r="I3" s="11" t="s">
        <v>11</v>
      </c>
      <c r="J3" s="11" t="s">
        <v>12</v>
      </c>
      <c r="K3" s="11" t="s">
        <v>13</v>
      </c>
      <c r="L3" s="45"/>
      <c r="M3" s="45"/>
    </row>
    <row r="4" spans="1:23">
      <c r="A4" s="14">
        <f>(A10)*10/500</f>
        <v>5</v>
      </c>
      <c r="B4" s="1" t="s">
        <v>3</v>
      </c>
      <c r="C4" s="3">
        <v>0.1111</v>
      </c>
      <c r="D4" s="4">
        <v>0.25219999999999998</v>
      </c>
      <c r="E4" s="5"/>
      <c r="F4" s="16">
        <f>(C4*A$4*0.1/10.1)/(D4-(C4*10/10.1))</f>
        <v>3.8677918424753877E-2</v>
      </c>
      <c r="G4" s="17">
        <f t="shared" ref="G4:G6" si="0">F4*1000</f>
        <v>38.677918424753877</v>
      </c>
      <c r="I4" s="29">
        <f>F4*20</f>
        <v>0.77355836849507753</v>
      </c>
      <c r="J4" s="30">
        <f>0.1*I4</f>
        <v>7.7355836849507753E-2</v>
      </c>
      <c r="K4" s="31">
        <f>J4*1000</f>
        <v>77.355836849507753</v>
      </c>
    </row>
    <row r="5" spans="1:23">
      <c r="C5" s="3">
        <v>0.1212</v>
      </c>
      <c r="D5" s="4">
        <v>0.28549999999999998</v>
      </c>
      <c r="E5" s="5"/>
      <c r="F5" s="16">
        <f>(C5*A$4*0.1/10.1)/(D5-(C5*10/10.1))</f>
        <v>3.6253776435045321E-2</v>
      </c>
      <c r="G5" s="17">
        <f t="shared" si="0"/>
        <v>36.253776435045317</v>
      </c>
      <c r="I5" s="29">
        <f t="shared" ref="I5:I6" si="1">F5*20</f>
        <v>0.72507552870090641</v>
      </c>
      <c r="J5" s="30">
        <f t="shared" ref="J5:J6" si="2">0.1*I5</f>
        <v>7.2507552870090641E-2</v>
      </c>
      <c r="K5" s="31">
        <f t="shared" ref="K5:K6" si="3">J5*1000</f>
        <v>72.507552870090635</v>
      </c>
      <c r="M5" s="60" t="s">
        <v>38</v>
      </c>
      <c r="N5" s="61"/>
      <c r="O5" s="61"/>
      <c r="P5" s="61"/>
      <c r="Q5" s="61"/>
      <c r="R5" s="61"/>
      <c r="S5" s="61"/>
      <c r="T5" s="61"/>
      <c r="U5" s="61"/>
      <c r="V5" s="61"/>
    </row>
    <row r="6" spans="1:23">
      <c r="C6" s="3">
        <v>0.13589999999999999</v>
      </c>
      <c r="D6" s="4">
        <v>0.2989</v>
      </c>
      <c r="E6" s="5"/>
      <c r="F6" s="16">
        <f>(C6*A$4*0.1/10.1)/(D6-(C6*10/10.1))</f>
        <v>4.0936447595925032E-2</v>
      </c>
      <c r="G6" s="17">
        <f t="shared" si="0"/>
        <v>40.936447595925031</v>
      </c>
      <c r="I6" s="29">
        <f t="shared" si="1"/>
        <v>0.81872895191850059</v>
      </c>
      <c r="J6" s="30">
        <f t="shared" si="2"/>
        <v>8.1872895191850065E-2</v>
      </c>
      <c r="K6" s="31">
        <f t="shared" si="3"/>
        <v>81.872895191850063</v>
      </c>
      <c r="M6" s="60" t="s">
        <v>32</v>
      </c>
      <c r="N6" s="61"/>
      <c r="O6" s="61"/>
      <c r="P6" s="61"/>
      <c r="Q6" s="61"/>
      <c r="R6" s="61"/>
      <c r="S6" s="61"/>
      <c r="T6" s="61"/>
      <c r="U6" s="61"/>
      <c r="V6" s="61"/>
    </row>
    <row r="7" spans="1:23" ht="13.5" thickBot="1">
      <c r="A7" s="32" t="s">
        <v>39</v>
      </c>
      <c r="C7" s="6"/>
      <c r="D7" s="7"/>
      <c r="F7" s="18"/>
      <c r="G7" s="19"/>
      <c r="J7" s="15"/>
    </row>
    <row r="8" spans="1:23" ht="13.5" thickBot="1">
      <c r="A8" s="53">
        <v>1000</v>
      </c>
      <c r="C8" s="33"/>
      <c r="D8" s="33"/>
    </row>
    <row r="9" spans="1:23">
      <c r="C9" s="9"/>
      <c r="D9" s="9"/>
      <c r="E9" s="20" t="s">
        <v>6</v>
      </c>
      <c r="F9" s="21"/>
      <c r="G9" s="22">
        <f>AVERAGE(G4:G6)</f>
        <v>38.622714151908077</v>
      </c>
      <c r="H9" s="22"/>
      <c r="I9" s="22">
        <f>AVERAGE(I4:I6)</f>
        <v>0.77245428303816155</v>
      </c>
      <c r="J9" s="22">
        <f>AVERAGE(J4:J6)</f>
        <v>7.7245428303816158E-2</v>
      </c>
      <c r="K9" s="22">
        <f>AVERAGE(K4:K6)</f>
        <v>77.245428303816155</v>
      </c>
      <c r="M9" s="52" t="s">
        <v>34</v>
      </c>
    </row>
    <row r="10" spans="1:23">
      <c r="A10" s="10">
        <f>A8*25/100</f>
        <v>250</v>
      </c>
      <c r="B10" s="1" t="s">
        <v>5</v>
      </c>
      <c r="C10" s="9"/>
      <c r="D10" s="9"/>
      <c r="E10" s="23" t="s">
        <v>7</v>
      </c>
      <c r="F10" s="24"/>
      <c r="G10" s="25">
        <f>STDEV(G4:G6)</f>
        <v>2.3418236342728647</v>
      </c>
      <c r="H10" s="25"/>
      <c r="I10" s="25">
        <f>STDEV(I4:I6)</f>
        <v>4.6836472685457237E-2</v>
      </c>
      <c r="J10" s="25">
        <f>STDEV(J4:J6)</f>
        <v>4.6836472685457273E-3</v>
      </c>
      <c r="K10" s="25">
        <f>STDEV(K4:K6)</f>
        <v>4.6836472685457293</v>
      </c>
      <c r="M10" s="52" t="s">
        <v>41</v>
      </c>
    </row>
    <row r="11" spans="1:23">
      <c r="C11" s="9"/>
      <c r="D11" s="9"/>
      <c r="E11" s="26" t="s">
        <v>8</v>
      </c>
      <c r="F11" s="27"/>
      <c r="G11" s="28">
        <f>G10/G9</f>
        <v>6.0633326416734273E-2</v>
      </c>
      <c r="H11" s="28"/>
      <c r="I11" s="28">
        <f t="shared" ref="I11:K11" si="4">I10/I9</f>
        <v>6.0633326416734197E-2</v>
      </c>
      <c r="J11" s="28">
        <f t="shared" si="4"/>
        <v>6.0633326416734246E-2</v>
      </c>
      <c r="K11" s="28">
        <f t="shared" si="4"/>
        <v>6.0633326416734273E-2</v>
      </c>
      <c r="M11" s="52"/>
      <c r="N11" t="s">
        <v>42</v>
      </c>
    </row>
    <row r="12" spans="1:23">
      <c r="C12" s="9"/>
      <c r="D12" s="9"/>
    </row>
    <row r="13" spans="1:23">
      <c r="C13" s="9"/>
      <c r="D13" s="9"/>
      <c r="E13" s="12"/>
      <c r="F13" s="1"/>
      <c r="G13" s="1"/>
      <c r="M13" t="s">
        <v>43</v>
      </c>
    </row>
    <row r="14" spans="1:23" ht="15">
      <c r="A14" s="64"/>
      <c r="B14" s="62"/>
      <c r="C14" s="62"/>
      <c r="D14" s="62"/>
      <c r="E14" s="63"/>
      <c r="F14" s="63"/>
      <c r="G14" s="63"/>
      <c r="H14" s="63"/>
      <c r="I14" s="62"/>
      <c r="J14" s="62"/>
      <c r="K14" s="62"/>
      <c r="L14" s="63"/>
      <c r="N14" t="s">
        <v>45</v>
      </c>
    </row>
    <row r="15" spans="1:23">
      <c r="A15" s="63"/>
      <c r="B15" s="62"/>
      <c r="C15" s="62"/>
      <c r="D15" s="62"/>
      <c r="E15" s="63"/>
      <c r="F15" s="63"/>
      <c r="G15" s="63"/>
      <c r="H15" s="63"/>
      <c r="I15" s="62"/>
      <c r="J15" s="62"/>
      <c r="K15" s="65"/>
      <c r="L15" s="63"/>
      <c r="N15" s="55" t="s">
        <v>46</v>
      </c>
      <c r="O15" s="55"/>
      <c r="P15" s="55"/>
      <c r="Q15" s="55"/>
      <c r="R15" s="55"/>
      <c r="S15" s="55"/>
      <c r="T15" s="55"/>
      <c r="U15" s="55"/>
      <c r="V15" s="55"/>
      <c r="W15" s="55"/>
    </row>
    <row r="16" spans="1:23">
      <c r="A16" s="63"/>
      <c r="B16" s="62"/>
      <c r="C16" s="62"/>
      <c r="D16" s="62"/>
      <c r="E16" s="63"/>
      <c r="F16" s="63"/>
      <c r="G16" s="63"/>
      <c r="H16" s="63"/>
      <c r="I16" s="65"/>
      <c r="J16" s="65"/>
      <c r="K16" s="65"/>
      <c r="L16" s="63"/>
      <c r="M16" s="56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23">
      <c r="A17" s="66"/>
      <c r="B17" s="67"/>
      <c r="C17" s="68"/>
      <c r="D17" s="68"/>
      <c r="E17" s="69"/>
      <c r="F17" s="70"/>
      <c r="G17" s="71"/>
      <c r="H17" s="63"/>
      <c r="I17" s="72"/>
      <c r="J17" s="73"/>
      <c r="K17" s="74"/>
      <c r="L17" s="63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1:23">
      <c r="A18" s="63"/>
      <c r="B18" s="62"/>
      <c r="C18" s="68"/>
      <c r="D18" s="68"/>
      <c r="E18" s="69"/>
      <c r="F18" s="70"/>
      <c r="G18" s="71"/>
      <c r="H18" s="63"/>
      <c r="I18" s="72"/>
      <c r="J18" s="73"/>
      <c r="K18" s="74"/>
      <c r="L18" s="63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>
      <c r="A19" s="63"/>
      <c r="B19" s="62"/>
      <c r="C19" s="68"/>
      <c r="D19" s="68"/>
      <c r="E19" s="69"/>
      <c r="F19" s="70"/>
      <c r="G19" s="71"/>
      <c r="H19" s="63"/>
      <c r="I19" s="72"/>
      <c r="J19" s="73"/>
      <c r="K19" s="74"/>
      <c r="L19" s="63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1:23">
      <c r="A20" s="75"/>
      <c r="B20" s="62"/>
      <c r="C20" s="68"/>
      <c r="D20" s="68"/>
      <c r="E20" s="63"/>
      <c r="F20" s="70"/>
      <c r="G20" s="71"/>
      <c r="H20" s="63"/>
      <c r="I20" s="62"/>
      <c r="J20" s="76"/>
      <c r="K20" s="62"/>
      <c r="L20" s="63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3">
      <c r="A21" s="77"/>
      <c r="B21" s="67"/>
      <c r="C21" s="68"/>
      <c r="D21" s="68"/>
      <c r="E21" s="63"/>
      <c r="F21" s="63"/>
      <c r="G21" s="63"/>
      <c r="H21" s="63"/>
      <c r="I21" s="62"/>
      <c r="J21" s="62"/>
      <c r="K21" s="62"/>
      <c r="L21" s="63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>
      <c r="A22" s="63"/>
      <c r="B22" s="62"/>
      <c r="C22" s="62"/>
      <c r="D22" s="62"/>
      <c r="E22" s="78"/>
      <c r="F22" s="77"/>
      <c r="G22" s="71"/>
      <c r="H22" s="71"/>
      <c r="I22" s="71"/>
      <c r="J22" s="71"/>
      <c r="K22" s="71"/>
      <c r="L22" s="63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</row>
    <row r="23" spans="1:23">
      <c r="A23" s="79"/>
      <c r="B23" s="62"/>
      <c r="C23" s="62"/>
      <c r="D23" s="62"/>
      <c r="E23" s="78"/>
      <c r="F23" s="63"/>
      <c r="G23" s="80"/>
      <c r="H23" s="80"/>
      <c r="I23" s="80"/>
      <c r="J23" s="80"/>
      <c r="K23" s="80"/>
      <c r="L23" s="63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1:23">
      <c r="A24" s="63"/>
      <c r="B24" s="62"/>
      <c r="C24" s="62"/>
      <c r="D24" s="62"/>
      <c r="E24" s="78"/>
      <c r="F24" s="63"/>
      <c r="G24" s="81"/>
      <c r="H24" s="81"/>
      <c r="I24" s="81"/>
      <c r="J24" s="81"/>
      <c r="K24" s="81"/>
      <c r="L24" s="63"/>
      <c r="N24" s="55"/>
      <c r="O24" s="55"/>
      <c r="P24" s="55"/>
      <c r="Q24" s="55"/>
      <c r="R24" s="55"/>
      <c r="S24" s="55"/>
      <c r="T24" s="55"/>
      <c r="U24" s="55"/>
      <c r="V24" s="55"/>
      <c r="W24" s="55"/>
    </row>
    <row r="25" spans="1:23">
      <c r="A25" s="63"/>
      <c r="B25" s="62"/>
      <c r="C25" s="62"/>
      <c r="D25" s="62"/>
      <c r="E25" s="63"/>
      <c r="F25" s="63"/>
      <c r="G25" s="63"/>
      <c r="H25" s="63"/>
      <c r="I25" s="62"/>
      <c r="J25" s="62"/>
      <c r="K25" s="62"/>
      <c r="L25" s="63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</row>
    <row r="26" spans="1:23">
      <c r="A26" s="63"/>
      <c r="B26" s="62"/>
      <c r="C26" s="62"/>
      <c r="D26" s="62"/>
      <c r="E26" s="63"/>
      <c r="F26" s="63"/>
      <c r="G26" s="63"/>
      <c r="H26" s="63"/>
      <c r="I26" s="62"/>
      <c r="J26" s="62"/>
      <c r="K26" s="62"/>
      <c r="L26" s="63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ht="15">
      <c r="A27" s="64"/>
      <c r="B27" s="62"/>
      <c r="C27" s="62"/>
      <c r="D27" s="62"/>
      <c r="E27" s="63"/>
      <c r="F27" s="63"/>
      <c r="G27" s="63"/>
      <c r="H27" s="63"/>
      <c r="I27" s="62"/>
      <c r="J27" s="62"/>
      <c r="K27" s="62"/>
      <c r="L27" s="63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</row>
    <row r="28" spans="1:23">
      <c r="A28" s="63"/>
      <c r="B28" s="62"/>
      <c r="C28" s="62"/>
      <c r="D28" s="62"/>
      <c r="E28" s="63"/>
      <c r="F28" s="63"/>
      <c r="G28" s="63"/>
      <c r="H28" s="63"/>
      <c r="I28" s="62"/>
      <c r="J28" s="62"/>
      <c r="K28" s="65"/>
      <c r="L28" s="63"/>
      <c r="M28" s="54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1:23">
      <c r="A29" s="63"/>
      <c r="B29" s="62"/>
      <c r="C29" s="62"/>
      <c r="D29" s="62"/>
      <c r="E29" s="63"/>
      <c r="F29" s="63"/>
      <c r="G29" s="63"/>
      <c r="H29" s="63"/>
      <c r="I29" s="65"/>
      <c r="J29" s="65"/>
      <c r="K29" s="65"/>
      <c r="L29" s="63"/>
      <c r="M29" s="54"/>
      <c r="N29" s="55"/>
      <c r="O29" s="55"/>
      <c r="P29" s="55"/>
      <c r="Q29" s="55"/>
      <c r="R29" s="55"/>
      <c r="S29" s="55"/>
      <c r="T29" s="55"/>
      <c r="U29" s="55"/>
      <c r="V29" s="55"/>
      <c r="W29" s="55"/>
    </row>
    <row r="30" spans="1:23">
      <c r="A30" s="66"/>
      <c r="B30" s="62"/>
      <c r="C30" s="68"/>
      <c r="D30" s="68"/>
      <c r="E30" s="69"/>
      <c r="F30" s="70"/>
      <c r="G30" s="71"/>
      <c r="H30" s="63"/>
      <c r="I30" s="72"/>
      <c r="J30" s="73"/>
      <c r="K30" s="74"/>
      <c r="L30" s="63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</row>
    <row r="31" spans="1:23">
      <c r="A31" s="63"/>
      <c r="B31" s="62"/>
      <c r="C31" s="68"/>
      <c r="D31" s="68"/>
      <c r="E31" s="69"/>
      <c r="F31" s="70"/>
      <c r="G31" s="71"/>
      <c r="H31" s="63"/>
      <c r="I31" s="72"/>
      <c r="J31" s="73"/>
      <c r="K31" s="74"/>
      <c r="L31" s="63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>
      <c r="A32" s="63"/>
      <c r="B32" s="62"/>
      <c r="C32" s="68"/>
      <c r="D32" s="68"/>
      <c r="E32" s="69"/>
      <c r="F32" s="70"/>
      <c r="G32" s="71"/>
      <c r="H32" s="63"/>
      <c r="I32" s="72"/>
      <c r="J32" s="73"/>
      <c r="K32" s="74"/>
      <c r="L32" s="63"/>
    </row>
    <row r="33" spans="1:12">
      <c r="A33" s="75"/>
      <c r="B33" s="62"/>
      <c r="C33" s="68"/>
      <c r="D33" s="68"/>
      <c r="E33" s="63"/>
      <c r="F33" s="70"/>
      <c r="G33" s="71"/>
      <c r="H33" s="63"/>
      <c r="I33" s="62"/>
      <c r="J33" s="76"/>
      <c r="K33" s="62"/>
      <c r="L33" s="63"/>
    </row>
    <row r="34" spans="1:12">
      <c r="A34" s="77"/>
      <c r="B34" s="67"/>
      <c r="C34" s="68"/>
      <c r="D34" s="68"/>
      <c r="E34" s="63"/>
      <c r="F34" s="63"/>
      <c r="G34" s="63"/>
      <c r="H34" s="63"/>
      <c r="I34" s="62"/>
      <c r="J34" s="62"/>
      <c r="K34" s="62"/>
      <c r="L34" s="63"/>
    </row>
    <row r="35" spans="1:12">
      <c r="A35" s="63"/>
      <c r="B35" s="62"/>
      <c r="C35" s="62"/>
      <c r="D35" s="62"/>
      <c r="E35" s="78"/>
      <c r="F35" s="77"/>
      <c r="G35" s="71"/>
      <c r="H35" s="71"/>
      <c r="I35" s="71"/>
      <c r="J35" s="71"/>
      <c r="K35" s="71"/>
      <c r="L35" s="63"/>
    </row>
    <row r="36" spans="1:12">
      <c r="A36" s="79"/>
      <c r="B36" s="62"/>
      <c r="C36" s="62"/>
      <c r="D36" s="62"/>
      <c r="E36" s="78"/>
      <c r="F36" s="63"/>
      <c r="G36" s="80"/>
      <c r="H36" s="80"/>
      <c r="I36" s="80"/>
      <c r="J36" s="80"/>
      <c r="K36" s="80"/>
      <c r="L36" s="63"/>
    </row>
    <row r="37" spans="1:12">
      <c r="A37" s="63"/>
      <c r="B37" s="62"/>
      <c r="C37" s="62"/>
      <c r="D37" s="62"/>
      <c r="E37" s="78"/>
      <c r="F37" s="63"/>
      <c r="G37" s="81"/>
      <c r="H37" s="81"/>
      <c r="I37" s="81"/>
      <c r="J37" s="81"/>
      <c r="K37" s="81"/>
      <c r="L37" s="63"/>
    </row>
    <row r="38" spans="1:12">
      <c r="A38" s="63"/>
      <c r="B38" s="62"/>
      <c r="C38" s="62"/>
      <c r="D38" s="62"/>
      <c r="E38" s="63"/>
      <c r="F38" s="63"/>
      <c r="G38" s="63"/>
      <c r="H38" s="63"/>
      <c r="I38" s="62"/>
      <c r="J38" s="62"/>
      <c r="K38" s="62"/>
      <c r="L38" s="63"/>
    </row>
  </sheetData>
  <pageMargins left="0.75" right="0.75" top="1" bottom="1" header="0.5" footer="0.5"/>
  <pageSetup scale="9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tabSelected="1" topLeftCell="A23" workbookViewId="0">
      <selection activeCell="A38" sqref="A38"/>
    </sheetView>
  </sheetViews>
  <sheetFormatPr defaultColWidth="8.85546875" defaultRowHeight="12.75"/>
  <cols>
    <col min="2" max="2" width="17.140625" style="1" customWidth="1"/>
    <col min="3" max="3" width="8.85546875" style="1"/>
    <col min="4" max="4" width="11.140625" style="1" customWidth="1"/>
    <col min="5" max="5" width="12.42578125" customWidth="1"/>
    <col min="7" max="7" width="10.7109375" bestFit="1" customWidth="1"/>
    <col min="9" max="9" width="12" style="1" bestFit="1" customWidth="1"/>
    <col min="10" max="10" width="13.140625" style="1" bestFit="1" customWidth="1"/>
    <col min="11" max="11" width="8.85546875" style="1"/>
  </cols>
  <sheetData>
    <row r="1" spans="1:22" ht="15">
      <c r="A1" s="42" t="s">
        <v>48</v>
      </c>
      <c r="B1" s="35"/>
      <c r="C1" s="35"/>
      <c r="D1" s="41"/>
      <c r="M1" s="32" t="s">
        <v>31</v>
      </c>
    </row>
    <row r="2" spans="1:22">
      <c r="K2" s="37" t="s">
        <v>23</v>
      </c>
      <c r="M2" s="32" t="s">
        <v>27</v>
      </c>
    </row>
    <row r="3" spans="1:22">
      <c r="A3" t="s">
        <v>0</v>
      </c>
      <c r="C3" s="2" t="s">
        <v>9</v>
      </c>
      <c r="D3" s="2" t="s">
        <v>10</v>
      </c>
      <c r="F3" t="s">
        <v>1</v>
      </c>
      <c r="G3" t="s">
        <v>2</v>
      </c>
      <c r="I3" s="11" t="s">
        <v>11</v>
      </c>
      <c r="J3" s="11" t="s">
        <v>12</v>
      </c>
      <c r="K3" s="11" t="s">
        <v>13</v>
      </c>
      <c r="L3" s="45"/>
      <c r="M3" s="45" t="s">
        <v>28</v>
      </c>
    </row>
    <row r="4" spans="1:22">
      <c r="A4" s="14">
        <f>(A8/0.5)*(207.2/331.2)*1000*(10/500)</f>
        <v>4.9798067632850245</v>
      </c>
      <c r="B4" s="1" t="s">
        <v>3</v>
      </c>
      <c r="C4" s="3">
        <v>0.15110000000000001</v>
      </c>
      <c r="D4" s="4">
        <v>0.95130000000000003</v>
      </c>
      <c r="E4" s="5"/>
      <c r="F4" s="16">
        <f>(C4*A$4*0.1/10.1)/(D4-(C4*10/10.1))</f>
        <v>9.2927840102896616E-3</v>
      </c>
      <c r="G4" s="17">
        <f t="shared" ref="G4:G6" si="0">F4*1000</f>
        <v>9.2927840102896617</v>
      </c>
      <c r="I4" s="29">
        <f>F4*20</f>
        <v>0.18585568020579324</v>
      </c>
      <c r="J4" s="30">
        <f>0.1*I4</f>
        <v>1.8585568020579323E-2</v>
      </c>
      <c r="K4" s="31">
        <f>J4*1000</f>
        <v>18.585568020579323</v>
      </c>
    </row>
    <row r="5" spans="1:22">
      <c r="C5" s="3">
        <v>0.1623</v>
      </c>
      <c r="D5" s="4">
        <v>0.92530000000000001</v>
      </c>
      <c r="E5" s="5"/>
      <c r="F5" s="16">
        <f>(C5*A$4*0.1/10.1)/(D5-(C5*10/10.1))</f>
        <v>1.0465775305258244E-2</v>
      </c>
      <c r="G5" s="17">
        <f t="shared" si="0"/>
        <v>10.465775305258244</v>
      </c>
      <c r="I5" s="29">
        <f t="shared" ref="I5:I6" si="1">F5*20</f>
        <v>0.20931550610516489</v>
      </c>
      <c r="J5" s="30">
        <f t="shared" ref="J5:J6" si="2">0.1*I5</f>
        <v>2.0931550610516492E-2</v>
      </c>
      <c r="K5" s="31">
        <f t="shared" ref="K5:K6" si="3">J5*1000</f>
        <v>20.931550610516492</v>
      </c>
      <c r="M5" s="46" t="s">
        <v>26</v>
      </c>
      <c r="N5" s="47"/>
      <c r="O5" s="47"/>
      <c r="P5" s="47"/>
      <c r="Q5" s="47"/>
      <c r="R5" s="47"/>
      <c r="S5" s="47"/>
      <c r="T5" s="47"/>
      <c r="U5" s="47"/>
      <c r="V5" s="47"/>
    </row>
    <row r="6" spans="1:22">
      <c r="C6" s="3">
        <v>0.15060000000000001</v>
      </c>
      <c r="D6" s="4">
        <v>0.92220000000000002</v>
      </c>
      <c r="E6" s="5"/>
      <c r="F6" s="16">
        <f>(C6*A$4*0.1/10.1)/(D6-(C6*10/10.1))</f>
        <v>9.6047357598879751E-3</v>
      </c>
      <c r="G6" s="17">
        <f t="shared" si="0"/>
        <v>9.6047357598879746</v>
      </c>
      <c r="I6" s="29">
        <f t="shared" si="1"/>
        <v>0.1920947151977595</v>
      </c>
      <c r="J6" s="30">
        <f t="shared" si="2"/>
        <v>1.920947151977595E-2</v>
      </c>
      <c r="K6" s="31">
        <f t="shared" si="3"/>
        <v>19.209471519775949</v>
      </c>
      <c r="M6" s="46" t="s">
        <v>32</v>
      </c>
      <c r="N6" s="47"/>
      <c r="O6" s="47"/>
      <c r="P6" s="47"/>
      <c r="Q6" s="47"/>
      <c r="R6" s="47"/>
      <c r="S6" s="47"/>
      <c r="T6" s="47"/>
      <c r="U6" s="47"/>
      <c r="V6" s="47"/>
    </row>
    <row r="7" spans="1:22" ht="13.5" thickBot="1">
      <c r="A7" s="32" t="s">
        <v>20</v>
      </c>
      <c r="C7" s="6"/>
      <c r="D7" s="7"/>
      <c r="F7" s="18"/>
      <c r="G7" s="19"/>
      <c r="J7" s="15"/>
    </row>
    <row r="8" spans="1:22" ht="13.5" thickBot="1">
      <c r="A8" s="8">
        <v>0.19900000000000001</v>
      </c>
      <c r="B8" s="1" t="s">
        <v>4</v>
      </c>
      <c r="C8" s="33"/>
      <c r="D8" s="33"/>
    </row>
    <row r="9" spans="1:22">
      <c r="C9" s="9"/>
      <c r="D9" s="9"/>
      <c r="E9" s="20" t="s">
        <v>6</v>
      </c>
      <c r="F9" s="21"/>
      <c r="G9" s="22">
        <f>AVERAGE(G4:G6)</f>
        <v>9.7877650251452923</v>
      </c>
      <c r="H9" s="22"/>
      <c r="I9" s="22">
        <f>AVERAGE(I4:I6)</f>
        <v>0.19575530050290588</v>
      </c>
      <c r="J9" s="22">
        <f>AVERAGE(J4:J6)</f>
        <v>1.9575530050290588E-2</v>
      </c>
      <c r="K9" s="22">
        <f>AVERAGE(K4:K6)</f>
        <v>19.575530050290585</v>
      </c>
    </row>
    <row r="10" spans="1:22">
      <c r="A10" s="10">
        <f>(A8/0.5)*(207.2/331.2)*1000</f>
        <v>248.99033816425123</v>
      </c>
      <c r="B10" s="1" t="s">
        <v>5</v>
      </c>
      <c r="C10" s="9"/>
      <c r="D10" s="9"/>
      <c r="E10" s="23" t="s">
        <v>7</v>
      </c>
      <c r="F10" s="24"/>
      <c r="G10" s="25">
        <f>STDEV(G4:G6)</f>
        <v>0.60753759428820009</v>
      </c>
      <c r="H10" s="25"/>
      <c r="I10" s="25">
        <f>STDEV(I4:I6)</f>
        <v>1.2150751885764E-2</v>
      </c>
      <c r="J10" s="25">
        <f>STDEV(J4:J6)</f>
        <v>1.2150751885764018E-3</v>
      </c>
      <c r="K10" s="25">
        <f>STDEV(K4:K6)</f>
        <v>1.2150751885764022</v>
      </c>
    </row>
    <row r="11" spans="1:22">
      <c r="C11" s="9"/>
      <c r="D11" s="9"/>
      <c r="E11" s="26" t="s">
        <v>8</v>
      </c>
      <c r="F11" s="27"/>
      <c r="G11" s="28">
        <f>G10/G9</f>
        <v>6.2071125811398564E-2</v>
      </c>
      <c r="H11" s="28"/>
      <c r="I11" s="28">
        <f t="shared" ref="I11:K11" si="4">I10/I9</f>
        <v>6.2071125811398543E-2</v>
      </c>
      <c r="J11" s="28">
        <f t="shared" si="4"/>
        <v>6.2071125811398641E-2</v>
      </c>
      <c r="K11" s="28">
        <f t="shared" si="4"/>
        <v>6.2071125811398668E-2</v>
      </c>
    </row>
    <row r="12" spans="1:22">
      <c r="C12" s="9"/>
      <c r="D12" s="9"/>
    </row>
    <row r="13" spans="1:22">
      <c r="C13" s="9"/>
      <c r="D13" s="9"/>
      <c r="E13" s="12"/>
      <c r="F13" s="1"/>
      <c r="G13" s="1"/>
    </row>
    <row r="14" spans="1:22" ht="15">
      <c r="A14" s="43" t="s">
        <v>49</v>
      </c>
      <c r="B14" s="39"/>
      <c r="C14" s="39"/>
      <c r="D14" s="39"/>
    </row>
    <row r="15" spans="1:22">
      <c r="K15" s="34" t="s">
        <v>24</v>
      </c>
      <c r="M15" s="48" t="s">
        <v>29</v>
      </c>
      <c r="N15" s="49"/>
      <c r="O15" s="49"/>
      <c r="P15" s="49"/>
      <c r="Q15" s="49"/>
      <c r="R15" s="49"/>
      <c r="S15" s="49"/>
      <c r="T15" s="49"/>
      <c r="U15" s="49"/>
      <c r="V15" s="49"/>
    </row>
    <row r="16" spans="1:22">
      <c r="A16" t="s">
        <v>0</v>
      </c>
      <c r="C16" s="2" t="s">
        <v>9</v>
      </c>
      <c r="D16" s="2" t="s">
        <v>10</v>
      </c>
      <c r="F16" t="s">
        <v>1</v>
      </c>
      <c r="G16" t="s">
        <v>2</v>
      </c>
      <c r="I16" s="11" t="s">
        <v>11</v>
      </c>
      <c r="J16" s="11" t="s">
        <v>12</v>
      </c>
      <c r="K16" s="11" t="s">
        <v>13</v>
      </c>
      <c r="M16" s="50" t="s">
        <v>33</v>
      </c>
      <c r="N16" s="49"/>
      <c r="O16" s="49"/>
      <c r="P16" s="49"/>
      <c r="Q16" s="49"/>
      <c r="R16" s="49"/>
      <c r="S16" s="49"/>
      <c r="T16" s="49"/>
      <c r="U16" s="49"/>
      <c r="V16" s="49"/>
    </row>
    <row r="17" spans="1:22">
      <c r="A17" s="14">
        <f>A23*5/1000</f>
        <v>5.0055000000000005</v>
      </c>
      <c r="B17" s="13" t="s">
        <v>19</v>
      </c>
      <c r="C17" s="3">
        <v>0.19850000000000001</v>
      </c>
      <c r="D17" s="4">
        <v>0.45450000000000002</v>
      </c>
      <c r="E17" s="5"/>
      <c r="F17" s="16">
        <f>(C17*A$4*0.1/10.1)/(D17-(C17*10/10.1))</f>
        <v>3.7939382544745728E-2</v>
      </c>
      <c r="G17" s="17">
        <f t="shared" ref="G17:G19" si="5">F17*1000</f>
        <v>37.939382544745726</v>
      </c>
      <c r="I17" s="29">
        <f>F17*20</f>
        <v>0.75878765089491451</v>
      </c>
      <c r="J17" s="30">
        <f>0.1*I17</f>
        <v>7.5878765089491457E-2</v>
      </c>
      <c r="K17" s="31">
        <f>J17*1000</f>
        <v>75.878765089491452</v>
      </c>
    </row>
    <row r="18" spans="1:22">
      <c r="C18" s="3">
        <v>0.17519999999999999</v>
      </c>
      <c r="D18" s="4">
        <v>0.43259999999999998</v>
      </c>
      <c r="E18" s="5"/>
      <c r="F18" s="16">
        <f>(C18*A$4*0.1/10.1)/(D18-(C18*10/10.1))</f>
        <v>3.3334943602375634E-2</v>
      </c>
      <c r="G18" s="17">
        <f t="shared" si="5"/>
        <v>33.334943602375631</v>
      </c>
      <c r="I18" s="29">
        <f t="shared" ref="I18:I19" si="6">F18*20</f>
        <v>0.66669887204751266</v>
      </c>
      <c r="J18" s="30">
        <f t="shared" ref="J18:J19" si="7">0.1*I18</f>
        <v>6.6669887204751269E-2</v>
      </c>
      <c r="K18" s="31">
        <f t="shared" ref="K18:K19" si="8">J18*1000</f>
        <v>66.669887204751262</v>
      </c>
    </row>
    <row r="19" spans="1:22">
      <c r="C19" s="3">
        <v>0.18629999999999999</v>
      </c>
      <c r="D19" s="4">
        <v>0.48630000000000001</v>
      </c>
      <c r="E19" s="5"/>
      <c r="F19" s="16">
        <f>(C19*A$4*0.1/10.1)/(D19-(C19*10/10.1))</f>
        <v>3.0431308489387042E-2</v>
      </c>
      <c r="G19" s="17">
        <f t="shared" si="5"/>
        <v>30.431308489387042</v>
      </c>
      <c r="I19" s="29">
        <f t="shared" si="6"/>
        <v>0.60862616978774087</v>
      </c>
      <c r="J19" s="30">
        <f t="shared" si="7"/>
        <v>6.0862616978774091E-2</v>
      </c>
      <c r="K19" s="31">
        <f t="shared" si="8"/>
        <v>60.862616978774092</v>
      </c>
    </row>
    <row r="20" spans="1:22" ht="13.5" thickBot="1">
      <c r="A20" s="32" t="s">
        <v>17</v>
      </c>
      <c r="C20" s="6"/>
      <c r="D20" s="7"/>
      <c r="F20" s="18"/>
      <c r="G20" s="19"/>
      <c r="J20" s="15"/>
    </row>
    <row r="21" spans="1:22" ht="13.5" thickBot="1">
      <c r="A21" s="8">
        <v>1.0011000000000001</v>
      </c>
      <c r="B21" s="13" t="s">
        <v>18</v>
      </c>
      <c r="C21" s="33"/>
      <c r="D21" s="33"/>
    </row>
    <row r="22" spans="1:22">
      <c r="C22" s="9"/>
      <c r="D22" s="9"/>
      <c r="E22" s="20" t="s">
        <v>6</v>
      </c>
      <c r="F22" s="21"/>
      <c r="G22" s="22">
        <f>AVERAGE(G17:G18)</f>
        <v>35.637163073560679</v>
      </c>
      <c r="H22" s="22"/>
      <c r="I22" s="22">
        <f>AVERAGE(I17:I19)</f>
        <v>0.67803756424338923</v>
      </c>
      <c r="J22" s="22">
        <f>AVERAGE(J17:J19)</f>
        <v>6.7803756424338946E-2</v>
      </c>
      <c r="K22" s="22">
        <f>AVERAGE(K17:K19)</f>
        <v>67.803756424338943</v>
      </c>
    </row>
    <row r="23" spans="1:22">
      <c r="A23" s="10">
        <f>(A21)*1000</f>
        <v>1001.1000000000001</v>
      </c>
      <c r="B23" s="1" t="s">
        <v>5</v>
      </c>
      <c r="C23" s="9"/>
      <c r="D23" s="9"/>
      <c r="E23" s="23" t="s">
        <v>7</v>
      </c>
      <c r="F23" s="24"/>
      <c r="G23" s="25">
        <f>STDEV(G17:G19)</f>
        <v>3.786007810877325</v>
      </c>
      <c r="H23" s="25"/>
      <c r="I23" s="25">
        <f>STDEV(I17:I19)</f>
        <v>7.5720156217546478E-2</v>
      </c>
      <c r="J23" s="25">
        <f t="shared" ref="J23" si="9">STDEV(J17:J19)</f>
        <v>7.5720156217546492E-3</v>
      </c>
      <c r="K23" s="25">
        <f>STDEV(K17:K19)</f>
        <v>7.5720156217546464</v>
      </c>
    </row>
    <row r="24" spans="1:22">
      <c r="C24" s="9"/>
      <c r="D24" s="9"/>
      <c r="E24" s="26" t="s">
        <v>8</v>
      </c>
      <c r="F24" s="27"/>
      <c r="G24" s="28">
        <f>G23/G22</f>
        <v>0.10623763185252465</v>
      </c>
      <c r="H24" s="28"/>
      <c r="I24" s="28">
        <f t="shared" ref="I24:K24" si="10">I23/I22</f>
        <v>0.11167545901684862</v>
      </c>
      <c r="J24" s="28">
        <f t="shared" si="10"/>
        <v>0.11167545901684861</v>
      </c>
      <c r="K24" s="28">
        <f t="shared" si="10"/>
        <v>0.11167545901684857</v>
      </c>
    </row>
    <row r="27" spans="1:22" ht="15">
      <c r="A27" s="44" t="s">
        <v>50</v>
      </c>
      <c r="B27" s="38"/>
      <c r="C27" s="38"/>
      <c r="D27" s="38"/>
    </row>
    <row r="28" spans="1:22">
      <c r="K28" s="36" t="s">
        <v>25</v>
      </c>
      <c r="M28" s="40" t="s">
        <v>30</v>
      </c>
      <c r="N28" s="51"/>
      <c r="O28" s="51"/>
      <c r="P28" s="51"/>
      <c r="Q28" s="51"/>
      <c r="R28" s="51"/>
      <c r="S28" s="51"/>
      <c r="T28" s="51"/>
      <c r="U28" s="51"/>
      <c r="V28" s="51"/>
    </row>
    <row r="29" spans="1:22">
      <c r="A29" t="s">
        <v>0</v>
      </c>
      <c r="C29" s="2" t="s">
        <v>9</v>
      </c>
      <c r="D29" s="2" t="s">
        <v>10</v>
      </c>
      <c r="F29" t="s">
        <v>1</v>
      </c>
      <c r="G29" t="s">
        <v>2</v>
      </c>
      <c r="I29" s="11" t="s">
        <v>11</v>
      </c>
      <c r="J29" s="11" t="s">
        <v>12</v>
      </c>
      <c r="K29" s="11" t="s">
        <v>13</v>
      </c>
      <c r="M29" s="40" t="s">
        <v>32</v>
      </c>
      <c r="N29" s="51"/>
      <c r="O29" s="51"/>
      <c r="P29" s="51"/>
      <c r="Q29" s="51"/>
      <c r="R29" s="51"/>
      <c r="S29" s="51"/>
      <c r="T29" s="51"/>
      <c r="U29" s="51"/>
      <c r="V29" s="51"/>
    </row>
    <row r="30" spans="1:22">
      <c r="A30" s="14">
        <f>(A34/0.5)*(63.546/170.48)*1000*(10/500)</f>
        <v>5.0007809479117782</v>
      </c>
      <c r="B30" s="1" t="s">
        <v>3</v>
      </c>
      <c r="C30" s="3">
        <v>9.9900000000000003E-2</v>
      </c>
      <c r="D30" s="4">
        <v>0.46970000000000001</v>
      </c>
      <c r="E30" s="5"/>
      <c r="F30" s="16">
        <f>(C30*A$4*0.1/10.1)/(D30-(C30*10/10.1))</f>
        <v>1.3284023520940729E-2</v>
      </c>
      <c r="G30" s="17">
        <f t="shared" ref="G30:G32" si="11">F30*1000</f>
        <v>13.284023520940728</v>
      </c>
      <c r="I30" s="29">
        <f>F30*20</f>
        <v>0.2656804704188146</v>
      </c>
      <c r="J30" s="30">
        <f>0.1*I30</f>
        <v>2.6568047041881461E-2</v>
      </c>
      <c r="K30" s="31">
        <f>J30*1000</f>
        <v>26.56804704188146</v>
      </c>
    </row>
    <row r="31" spans="1:22">
      <c r="C31" s="3">
        <v>0.10009999999999999</v>
      </c>
      <c r="D31" s="4">
        <v>0.48980000000000001</v>
      </c>
      <c r="E31" s="5"/>
      <c r="F31" s="16">
        <f>(C31*A$4*0.1/10.1)/(D31-(C31*10/10.1))</f>
        <v>1.2632569273154728E-2</v>
      </c>
      <c r="G31" s="17">
        <f t="shared" si="11"/>
        <v>12.632569273154727</v>
      </c>
      <c r="I31" s="29">
        <f t="shared" ref="I31:I32" si="12">F31*20</f>
        <v>0.25265138546309457</v>
      </c>
      <c r="J31" s="30">
        <f t="shared" ref="J31:J32" si="13">0.1*I31</f>
        <v>2.5265138546309459E-2</v>
      </c>
      <c r="K31" s="31">
        <f t="shared" ref="K31:K32" si="14">J31*1000</f>
        <v>25.265138546309458</v>
      </c>
    </row>
    <row r="32" spans="1:22">
      <c r="C32" s="3">
        <v>9.5899999999999999E-2</v>
      </c>
      <c r="D32" s="4">
        <v>0.48</v>
      </c>
      <c r="E32" s="5"/>
      <c r="F32" s="16">
        <f>(C32*A$4*0.1/10.1)/(D32-(C32*10/10.1))</f>
        <v>1.227985262532872E-2</v>
      </c>
      <c r="G32" s="17">
        <f t="shared" si="11"/>
        <v>12.27985262532872</v>
      </c>
      <c r="I32" s="29">
        <f t="shared" si="12"/>
        <v>0.2455970525065744</v>
      </c>
      <c r="J32" s="30">
        <f t="shared" si="13"/>
        <v>2.455970525065744E-2</v>
      </c>
      <c r="K32" s="31">
        <f t="shared" si="14"/>
        <v>24.559705250657441</v>
      </c>
    </row>
    <row r="33" spans="1:13" ht="13.5" thickBot="1">
      <c r="A33" s="32" t="s">
        <v>21</v>
      </c>
      <c r="C33" s="6"/>
      <c r="D33" s="7"/>
      <c r="F33" s="18"/>
      <c r="G33" s="19"/>
      <c r="J33" s="15"/>
    </row>
    <row r="34" spans="1:13" ht="13.5" thickBot="1">
      <c r="A34" s="8">
        <v>0.33539999999999998</v>
      </c>
      <c r="B34" s="13" t="s">
        <v>22</v>
      </c>
      <c r="C34" s="33"/>
      <c r="D34" s="33"/>
      <c r="M34" s="52" t="s">
        <v>51</v>
      </c>
    </row>
    <row r="35" spans="1:13">
      <c r="C35" s="9"/>
      <c r="D35" s="9"/>
      <c r="E35" s="20" t="s">
        <v>6</v>
      </c>
      <c r="F35" s="21"/>
      <c r="G35" s="22">
        <f>AVERAGE(G30:G32)</f>
        <v>12.732148473141393</v>
      </c>
      <c r="H35" s="22"/>
      <c r="I35" s="22">
        <f>AVERAGE(I30:I32)</f>
        <v>0.25464296946282788</v>
      </c>
      <c r="J35" s="22">
        <f>AVERAGE(J30:J32)</f>
        <v>2.5464296946282786E-2</v>
      </c>
      <c r="K35" s="22">
        <f>AVERAGE(K30:K32)</f>
        <v>25.464296946282786</v>
      </c>
      <c r="M35" s="52" t="s">
        <v>52</v>
      </c>
    </row>
    <row r="36" spans="1:13">
      <c r="A36" s="10">
        <f>(A34/0.5)*(63.546/170.48)*1000</f>
        <v>250.03904739558891</v>
      </c>
      <c r="B36" s="1" t="s">
        <v>5</v>
      </c>
      <c r="C36" s="9"/>
      <c r="D36" s="9"/>
      <c r="E36" s="23" t="s">
        <v>7</v>
      </c>
      <c r="F36" s="24"/>
      <c r="G36" s="25">
        <f>STDEV(G30:G32)</f>
        <v>0.50943773878762022</v>
      </c>
      <c r="H36" s="25"/>
      <c r="I36" s="25">
        <f>STDEV(I30:I32)</f>
        <v>1.0188754775752422E-2</v>
      </c>
      <c r="J36" s="25">
        <f>STDEV(J30:J32)</f>
        <v>1.0188754775752428E-3</v>
      </c>
      <c r="K36" s="25">
        <f>STDEV(K30:K32)</f>
        <v>1.018875477575242</v>
      </c>
      <c r="M36" s="52" t="s">
        <v>40</v>
      </c>
    </row>
    <row r="37" spans="1:13">
      <c r="C37" s="9"/>
      <c r="D37" s="9"/>
      <c r="E37" s="26" t="s">
        <v>8</v>
      </c>
      <c r="F37" s="27"/>
      <c r="G37" s="28">
        <f>G36/G35</f>
        <v>4.0011922564544757E-2</v>
      </c>
      <c r="H37" s="28"/>
      <c r="I37" s="28">
        <f t="shared" ref="I37:K37" si="15">I36/I35</f>
        <v>4.0011922564544826E-2</v>
      </c>
      <c r="J37" s="28">
        <f t="shared" si="15"/>
        <v>4.0011922564544854E-2</v>
      </c>
      <c r="K37" s="28">
        <f t="shared" si="15"/>
        <v>4.0011922564544819E-2</v>
      </c>
    </row>
  </sheetData>
  <pageMargins left="0.75" right="0.75" top="1" bottom="1" header="0.5" footer="0.5"/>
  <pageSetup scale="9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W38"/>
  <sheetViews>
    <sheetView workbookViewId="0">
      <selection activeCell="G39" sqref="G39:G40"/>
    </sheetView>
  </sheetViews>
  <sheetFormatPr defaultColWidth="8.85546875" defaultRowHeight="12.75"/>
  <cols>
    <col min="1" max="1" width="9.42578125" bestFit="1" customWidth="1"/>
    <col min="2" max="2" width="17.140625" style="1" customWidth="1"/>
    <col min="3" max="3" width="8.85546875" style="1"/>
    <col min="4" max="4" width="11.140625" style="1" customWidth="1"/>
    <col min="5" max="5" width="12.42578125" customWidth="1"/>
    <col min="7" max="7" width="10.7109375" bestFit="1" customWidth="1"/>
    <col min="9" max="9" width="12" style="1" bestFit="1" customWidth="1"/>
    <col min="10" max="10" width="13.140625" style="1" bestFit="1" customWidth="1"/>
    <col min="11" max="11" width="8.85546875" style="1"/>
  </cols>
  <sheetData>
    <row r="1" spans="1:23" ht="15">
      <c r="A1" s="57" t="s">
        <v>37</v>
      </c>
      <c r="B1" s="58"/>
      <c r="C1" s="58"/>
      <c r="D1" s="59"/>
      <c r="M1" s="52" t="s">
        <v>47</v>
      </c>
    </row>
    <row r="2" spans="1:23">
      <c r="K2" s="58" t="s">
        <v>44</v>
      </c>
      <c r="M2" s="32"/>
    </row>
    <row r="3" spans="1:23">
      <c r="A3" t="s">
        <v>0</v>
      </c>
      <c r="C3" s="2" t="s">
        <v>9</v>
      </c>
      <c r="D3" s="2" t="s">
        <v>10</v>
      </c>
      <c r="F3" t="s">
        <v>1</v>
      </c>
      <c r="G3" t="s">
        <v>2</v>
      </c>
      <c r="I3" s="11" t="s">
        <v>11</v>
      </c>
      <c r="J3" s="11" t="s">
        <v>12</v>
      </c>
      <c r="K3" s="11" t="s">
        <v>13</v>
      </c>
      <c r="L3" s="45"/>
      <c r="M3" s="45"/>
    </row>
    <row r="4" spans="1:23">
      <c r="A4" s="14">
        <f>(A10)*10/500</f>
        <v>5</v>
      </c>
      <c r="B4" s="1" t="s">
        <v>3</v>
      </c>
      <c r="C4" s="3">
        <v>0.10150000000000001</v>
      </c>
      <c r="D4" s="4">
        <v>0.89859999999999995</v>
      </c>
      <c r="E4" s="5"/>
      <c r="F4" s="16">
        <f>(C4*A$4*0.1/10.1)/(D4-(C4*10/10.1))</f>
        <v>6.2958542885002359E-3</v>
      </c>
      <c r="G4" s="17">
        <f t="shared" ref="G4:G6" si="0">F4*1000</f>
        <v>6.2958542885002355</v>
      </c>
      <c r="I4" s="29">
        <f>F4*20</f>
        <v>0.12591708577000471</v>
      </c>
      <c r="J4" s="30">
        <f>0.1*I4</f>
        <v>1.2591708577000472E-2</v>
      </c>
      <c r="K4" s="31">
        <f>J4*1000</f>
        <v>12.591708577000471</v>
      </c>
    </row>
    <row r="5" spans="1:23">
      <c r="C5" s="3">
        <v>0.19850000000000001</v>
      </c>
      <c r="D5" s="4">
        <v>0.95630000000000004</v>
      </c>
      <c r="E5" s="5"/>
      <c r="F5" s="16">
        <f>(C5*A$4*0.1/10.1)/(D5-(C5*10/10.1))</f>
        <v>1.2933904814279553E-2</v>
      </c>
      <c r="G5" s="17">
        <f t="shared" si="0"/>
        <v>12.933904814279552</v>
      </c>
      <c r="I5" s="29">
        <f t="shared" ref="I5:I6" si="1">F5*20</f>
        <v>0.25867809628559107</v>
      </c>
      <c r="J5" s="30">
        <f t="shared" ref="J5:J6" si="2">0.1*I5</f>
        <v>2.586780962855911E-2</v>
      </c>
      <c r="K5" s="31">
        <f t="shared" ref="K5:K6" si="3">J5*1000</f>
        <v>25.867809628559108</v>
      </c>
      <c r="M5" s="60" t="s">
        <v>38</v>
      </c>
      <c r="N5" s="61"/>
      <c r="O5" s="61"/>
      <c r="P5" s="61"/>
      <c r="Q5" s="61"/>
      <c r="R5" s="61"/>
      <c r="S5" s="61"/>
      <c r="T5" s="61"/>
      <c r="U5" s="61"/>
      <c r="V5" s="61"/>
    </row>
    <row r="6" spans="1:23">
      <c r="C6" s="3">
        <v>0.15740000000000001</v>
      </c>
      <c r="D6" s="4">
        <v>0.9254</v>
      </c>
      <c r="E6" s="5"/>
      <c r="F6" s="16">
        <f>(C6*A$4*0.1/10.1)/(D6-(C6*10/10.1))</f>
        <v>1.0125390155599072E-2</v>
      </c>
      <c r="G6" s="17">
        <f t="shared" si="0"/>
        <v>10.125390155599071</v>
      </c>
      <c r="I6" s="29">
        <f t="shared" si="1"/>
        <v>0.20250780311198144</v>
      </c>
      <c r="J6" s="30">
        <f t="shared" si="2"/>
        <v>2.0250780311198147E-2</v>
      </c>
      <c r="K6" s="31">
        <f t="shared" si="3"/>
        <v>20.250780311198145</v>
      </c>
      <c r="M6" s="60" t="s">
        <v>32</v>
      </c>
      <c r="N6" s="61"/>
      <c r="O6" s="61"/>
      <c r="P6" s="61"/>
      <c r="Q6" s="61"/>
      <c r="R6" s="61"/>
      <c r="S6" s="61"/>
      <c r="T6" s="61"/>
      <c r="U6" s="61"/>
      <c r="V6" s="61"/>
    </row>
    <row r="7" spans="1:23" ht="13.5" thickBot="1">
      <c r="A7" s="32" t="s">
        <v>39</v>
      </c>
      <c r="C7" s="6"/>
      <c r="D7" s="7"/>
      <c r="F7" s="18"/>
      <c r="G7" s="19"/>
      <c r="J7" s="15"/>
    </row>
    <row r="8" spans="1:23" ht="13.5" thickBot="1">
      <c r="A8" s="53">
        <v>1000</v>
      </c>
      <c r="C8" s="33"/>
      <c r="D8" s="33"/>
    </row>
    <row r="9" spans="1:23">
      <c r="C9" s="9"/>
      <c r="D9" s="9"/>
      <c r="E9" s="20" t="s">
        <v>6</v>
      </c>
      <c r="F9" s="21"/>
      <c r="G9" s="22">
        <f>AVERAGE(G4:G6)</f>
        <v>9.7850497527929523</v>
      </c>
      <c r="H9" s="22"/>
      <c r="I9" s="22">
        <f>AVERAGE(I4:I6)</f>
        <v>0.19570099505585906</v>
      </c>
      <c r="J9" s="22">
        <f>AVERAGE(J4:J6)</f>
        <v>1.957009950558591E-2</v>
      </c>
      <c r="K9" s="22">
        <f>AVERAGE(K4:K6)</f>
        <v>19.570099505585905</v>
      </c>
      <c r="M9" s="52" t="s">
        <v>51</v>
      </c>
    </row>
    <row r="10" spans="1:23">
      <c r="A10" s="10">
        <f>A8*25/100</f>
        <v>250</v>
      </c>
      <c r="B10" s="1" t="s">
        <v>5</v>
      </c>
      <c r="C10" s="9"/>
      <c r="D10" s="9"/>
      <c r="E10" s="23" t="s">
        <v>7</v>
      </c>
      <c r="F10" s="24"/>
      <c r="G10" s="25">
        <f>STDEV(G4:G6)</f>
        <v>3.3320867917922623</v>
      </c>
      <c r="H10" s="25"/>
      <c r="I10" s="25">
        <f>STDEV(I4:I6)</f>
        <v>6.6641735835845192E-2</v>
      </c>
      <c r="J10" s="25">
        <f>STDEV(J4:J6)</f>
        <v>6.6641735835845303E-3</v>
      </c>
      <c r="K10" s="25">
        <f>STDEV(K4:K6)</f>
        <v>6.6641735835845415</v>
      </c>
      <c r="M10" s="52" t="s">
        <v>53</v>
      </c>
    </row>
    <row r="11" spans="1:23">
      <c r="C11" s="9"/>
      <c r="D11" s="9"/>
      <c r="E11" s="26" t="s">
        <v>8</v>
      </c>
      <c r="F11" s="27"/>
      <c r="G11" s="28">
        <f>G10/G9</f>
        <v>0.34052834435933071</v>
      </c>
      <c r="H11" s="28"/>
      <c r="I11" s="28">
        <f t="shared" ref="I11:K11" si="4">I10/I9</f>
        <v>0.34052834435933044</v>
      </c>
      <c r="J11" s="28">
        <f t="shared" si="4"/>
        <v>0.34052834435933088</v>
      </c>
      <c r="K11" s="28">
        <f t="shared" si="4"/>
        <v>0.34052834435933155</v>
      </c>
      <c r="M11" t="s">
        <v>42</v>
      </c>
    </row>
    <row r="12" spans="1:23">
      <c r="C12" s="9"/>
      <c r="D12" s="9"/>
    </row>
    <row r="13" spans="1:23">
      <c r="C13" s="9"/>
      <c r="D13" s="9"/>
      <c r="E13" s="12"/>
      <c r="F13" s="1"/>
      <c r="G13" s="1"/>
      <c r="M13" t="s">
        <v>43</v>
      </c>
      <c r="O13" s="55"/>
      <c r="P13" s="55"/>
      <c r="Q13" s="55"/>
      <c r="R13" s="55"/>
      <c r="S13" s="55"/>
      <c r="T13" s="55"/>
      <c r="U13" s="55"/>
      <c r="V13" s="55"/>
      <c r="W13" s="55"/>
    </row>
    <row r="14" spans="1:23" ht="15">
      <c r="A14" s="64"/>
      <c r="B14" s="62"/>
      <c r="C14" s="62"/>
      <c r="D14" s="62"/>
      <c r="E14" s="63"/>
      <c r="F14" s="63"/>
      <c r="G14" s="63"/>
      <c r="H14" s="63"/>
      <c r="I14" s="62"/>
      <c r="J14" s="62"/>
      <c r="K14" s="62"/>
      <c r="L14" s="63"/>
      <c r="N14" t="s">
        <v>45</v>
      </c>
      <c r="O14" s="55"/>
      <c r="P14" s="55"/>
      <c r="Q14" s="55"/>
      <c r="R14" s="55"/>
      <c r="S14" s="55"/>
      <c r="T14" s="55"/>
      <c r="U14" s="55"/>
      <c r="V14" s="55"/>
      <c r="W14" s="55"/>
    </row>
    <row r="15" spans="1:23">
      <c r="A15" s="63"/>
      <c r="B15" s="62"/>
      <c r="C15" s="62"/>
      <c r="D15" s="62"/>
      <c r="E15" s="63"/>
      <c r="F15" s="63"/>
      <c r="G15" s="63"/>
      <c r="H15" s="63"/>
      <c r="I15" s="62"/>
      <c r="J15" s="62"/>
      <c r="K15" s="65"/>
      <c r="L15" s="63"/>
      <c r="N15" s="55" t="s">
        <v>46</v>
      </c>
      <c r="O15" s="55"/>
      <c r="P15" s="55"/>
      <c r="Q15" s="55"/>
      <c r="R15" s="55"/>
      <c r="S15" s="55"/>
      <c r="T15" s="55"/>
      <c r="U15" s="55"/>
      <c r="V15" s="55"/>
      <c r="W15" s="55"/>
    </row>
    <row r="16" spans="1:23">
      <c r="A16" s="63"/>
      <c r="B16" s="62"/>
      <c r="C16" s="62"/>
      <c r="D16" s="62"/>
      <c r="E16" s="63"/>
      <c r="F16" s="63"/>
      <c r="G16" s="63"/>
      <c r="H16" s="63"/>
      <c r="I16" s="65"/>
      <c r="J16" s="65"/>
      <c r="K16" s="65"/>
      <c r="L16" s="63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23">
      <c r="A17" s="66"/>
      <c r="B17" s="67"/>
      <c r="C17" s="68"/>
      <c r="D17" s="68"/>
      <c r="E17" s="69"/>
      <c r="F17" s="70"/>
      <c r="G17" s="71"/>
      <c r="H17" s="63"/>
      <c r="I17" s="72"/>
      <c r="J17" s="73"/>
      <c r="K17" s="74"/>
      <c r="L17" s="63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1:23">
      <c r="A18" s="63"/>
      <c r="B18" s="62"/>
      <c r="C18" s="68"/>
      <c r="D18" s="68"/>
      <c r="E18" s="69"/>
      <c r="F18" s="70"/>
      <c r="G18" s="71"/>
      <c r="H18" s="63"/>
      <c r="I18" s="72"/>
      <c r="J18" s="73"/>
      <c r="K18" s="74"/>
      <c r="L18" s="63"/>
      <c r="M18" s="54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>
      <c r="A19" s="63"/>
      <c r="B19" s="62"/>
      <c r="C19" s="68"/>
      <c r="D19" s="68"/>
      <c r="E19" s="69"/>
      <c r="F19" s="70"/>
      <c r="G19" s="71"/>
      <c r="H19" s="63"/>
      <c r="I19" s="72"/>
      <c r="J19" s="73"/>
      <c r="K19" s="74"/>
      <c r="L19" s="63"/>
      <c r="M19" s="54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1:23">
      <c r="A20" s="75"/>
      <c r="B20" s="62"/>
      <c r="C20" s="68"/>
      <c r="D20" s="68"/>
      <c r="E20" s="63"/>
      <c r="F20" s="70"/>
      <c r="G20" s="71"/>
      <c r="H20" s="63"/>
      <c r="I20" s="62"/>
      <c r="J20" s="76"/>
      <c r="K20" s="62"/>
      <c r="L20" s="63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3">
      <c r="A21" s="77"/>
      <c r="B21" s="67"/>
      <c r="C21" s="68"/>
      <c r="D21" s="68"/>
      <c r="E21" s="63"/>
      <c r="F21" s="63"/>
      <c r="G21" s="63"/>
      <c r="H21" s="63"/>
      <c r="I21" s="62"/>
      <c r="J21" s="62"/>
      <c r="K21" s="62"/>
      <c r="L21" s="63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>
      <c r="A22" s="63"/>
      <c r="B22" s="62"/>
      <c r="C22" s="62"/>
      <c r="D22" s="62"/>
      <c r="E22" s="78"/>
      <c r="F22" s="77"/>
      <c r="G22" s="71"/>
      <c r="H22" s="71"/>
      <c r="I22" s="71"/>
      <c r="J22" s="71"/>
      <c r="K22" s="71"/>
      <c r="L22" s="63"/>
    </row>
    <row r="23" spans="1:23">
      <c r="A23" s="79"/>
      <c r="B23" s="62"/>
      <c r="C23" s="62"/>
      <c r="D23" s="62"/>
      <c r="E23" s="78"/>
      <c r="F23" s="63"/>
      <c r="G23" s="80"/>
      <c r="H23" s="80"/>
      <c r="I23" s="80"/>
      <c r="J23" s="80"/>
      <c r="K23" s="80"/>
      <c r="L23" s="63"/>
    </row>
    <row r="24" spans="1:23">
      <c r="A24" s="63"/>
      <c r="B24" s="62"/>
      <c r="C24" s="62"/>
      <c r="D24" s="62"/>
      <c r="E24" s="78"/>
      <c r="F24" s="63"/>
      <c r="G24" s="81"/>
      <c r="H24" s="81"/>
      <c r="I24" s="81"/>
      <c r="J24" s="81"/>
      <c r="K24" s="81"/>
      <c r="L24" s="63"/>
    </row>
    <row r="25" spans="1:23">
      <c r="A25" s="63"/>
      <c r="B25" s="62"/>
      <c r="C25" s="62"/>
      <c r="D25" s="62"/>
      <c r="E25" s="63"/>
      <c r="F25" s="63"/>
      <c r="G25" s="63"/>
      <c r="H25" s="63"/>
      <c r="I25" s="62"/>
      <c r="J25" s="62"/>
      <c r="K25" s="62"/>
      <c r="L25" s="63"/>
    </row>
    <row r="26" spans="1:23">
      <c r="A26" s="63"/>
      <c r="B26" s="62"/>
      <c r="C26" s="62"/>
      <c r="D26" s="62"/>
      <c r="E26" s="63"/>
      <c r="F26" s="63"/>
      <c r="G26" s="63"/>
      <c r="H26" s="63"/>
      <c r="I26" s="62"/>
      <c r="J26" s="62"/>
      <c r="K26" s="62"/>
      <c r="L26" s="63"/>
    </row>
    <row r="27" spans="1:23" ht="15">
      <c r="A27" s="64"/>
      <c r="B27" s="62"/>
      <c r="C27" s="62"/>
      <c r="D27" s="62"/>
      <c r="E27" s="63"/>
      <c r="F27" s="63"/>
      <c r="G27" s="63"/>
      <c r="H27" s="63"/>
      <c r="I27" s="62"/>
      <c r="J27" s="62"/>
      <c r="K27" s="62"/>
      <c r="L27" s="63"/>
    </row>
    <row r="28" spans="1:23">
      <c r="A28" s="63"/>
      <c r="B28" s="62"/>
      <c r="C28" s="62"/>
      <c r="D28" s="62"/>
      <c r="E28" s="63"/>
      <c r="F28" s="63"/>
      <c r="G28" s="63"/>
      <c r="H28" s="63"/>
      <c r="I28" s="62"/>
      <c r="J28" s="62"/>
      <c r="K28" s="65"/>
      <c r="L28" s="63"/>
    </row>
    <row r="29" spans="1:23">
      <c r="A29" s="63"/>
      <c r="B29" s="62"/>
      <c r="C29" s="62"/>
      <c r="D29" s="62"/>
      <c r="E29" s="63"/>
      <c r="F29" s="63"/>
      <c r="G29" s="63"/>
      <c r="H29" s="63"/>
      <c r="I29" s="65"/>
      <c r="J29" s="65"/>
      <c r="K29" s="65"/>
      <c r="L29" s="63"/>
    </row>
    <row r="30" spans="1:23">
      <c r="A30" s="66"/>
      <c r="B30" s="62"/>
      <c r="C30" s="68"/>
      <c r="D30" s="68"/>
      <c r="E30" s="69"/>
      <c r="F30" s="70"/>
      <c r="G30" s="71"/>
      <c r="H30" s="63"/>
      <c r="I30" s="72"/>
      <c r="J30" s="73"/>
      <c r="K30" s="74"/>
      <c r="L30" s="63"/>
    </row>
    <row r="31" spans="1:23">
      <c r="A31" s="63"/>
      <c r="B31" s="62"/>
      <c r="C31" s="68"/>
      <c r="D31" s="68"/>
      <c r="E31" s="69"/>
      <c r="F31" s="70"/>
      <c r="G31" s="71"/>
      <c r="H31" s="63"/>
      <c r="I31" s="72"/>
      <c r="J31" s="73"/>
      <c r="K31" s="74"/>
      <c r="L31" s="63"/>
    </row>
    <row r="32" spans="1:23">
      <c r="A32" s="63"/>
      <c r="B32" s="62"/>
      <c r="C32" s="68"/>
      <c r="D32" s="68"/>
      <c r="E32" s="69"/>
      <c r="F32" s="70"/>
      <c r="G32" s="71"/>
      <c r="H32" s="63"/>
      <c r="I32" s="72"/>
      <c r="J32" s="73"/>
      <c r="K32" s="74"/>
      <c r="L32" s="63"/>
    </row>
    <row r="33" spans="1:12">
      <c r="A33" s="75"/>
      <c r="B33" s="62"/>
      <c r="C33" s="68"/>
      <c r="D33" s="68"/>
      <c r="E33" s="63"/>
      <c r="F33" s="70"/>
      <c r="G33" s="71"/>
      <c r="H33" s="63"/>
      <c r="I33" s="62"/>
      <c r="J33" s="76"/>
      <c r="K33" s="62"/>
      <c r="L33" s="63"/>
    </row>
    <row r="34" spans="1:12">
      <c r="A34" s="77"/>
      <c r="B34" s="67"/>
      <c r="C34" s="68"/>
      <c r="D34" s="68"/>
      <c r="E34" s="63"/>
      <c r="F34" s="63"/>
      <c r="G34" s="63"/>
      <c r="H34" s="63"/>
      <c r="I34" s="62"/>
      <c r="J34" s="62"/>
      <c r="K34" s="62"/>
      <c r="L34" s="63"/>
    </row>
    <row r="35" spans="1:12">
      <c r="A35" s="63"/>
      <c r="B35" s="62"/>
      <c r="C35" s="62"/>
      <c r="D35" s="62"/>
      <c r="E35" s="78"/>
      <c r="F35" s="77"/>
      <c r="G35" s="71"/>
      <c r="H35" s="71"/>
      <c r="I35" s="71"/>
      <c r="J35" s="71"/>
      <c r="K35" s="71"/>
      <c r="L35" s="63"/>
    </row>
    <row r="36" spans="1:12">
      <c r="A36" s="79"/>
      <c r="B36" s="62"/>
      <c r="C36" s="62"/>
      <c r="D36" s="62"/>
      <c r="E36" s="78"/>
      <c r="F36" s="63"/>
      <c r="G36" s="80"/>
      <c r="H36" s="80"/>
      <c r="I36" s="80"/>
      <c r="J36" s="80"/>
      <c r="K36" s="80"/>
      <c r="L36" s="63"/>
    </row>
    <row r="37" spans="1:12">
      <c r="A37" s="63"/>
      <c r="B37" s="62"/>
      <c r="C37" s="62"/>
      <c r="D37" s="62"/>
      <c r="E37" s="78"/>
      <c r="F37" s="63"/>
      <c r="G37" s="81"/>
      <c r="H37" s="81"/>
      <c r="I37" s="81"/>
      <c r="J37" s="81"/>
      <c r="K37" s="81"/>
      <c r="L37" s="63"/>
    </row>
    <row r="38" spans="1:12">
      <c r="A38" s="63"/>
      <c r="B38" s="62"/>
      <c r="C38" s="62"/>
      <c r="D38" s="62"/>
      <c r="E38" s="63"/>
      <c r="F38" s="63"/>
      <c r="G38" s="63"/>
      <c r="H38" s="63"/>
      <c r="I38" s="62"/>
      <c r="J38" s="62"/>
      <c r="K38" s="62"/>
      <c r="L38" s="63"/>
    </row>
  </sheetData>
  <pageMargins left="0.75" right="0.75" top="1" bottom="1" header="0.5" footer="0.5"/>
  <pageSetup scale="9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Q12 sample dillution</vt:lpstr>
      <vt:lpstr>ASV-Sediments (Pb, Zn, Cu)</vt:lpstr>
      <vt:lpstr>Ads. SV-Sediments (Cr)</vt:lpstr>
      <vt:lpstr>ASV-Susp Solids (Pb, Zn, Cu)</vt:lpstr>
      <vt:lpstr>Ads. SV-Susp Solids (Cr)</vt:lpstr>
      <vt:lpstr>Sheet1</vt:lpstr>
    </vt:vector>
  </TitlesOfParts>
  <Company>Creighton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Gross</dc:creator>
  <cp:lastModifiedBy>TheAnalyticalEngine</cp:lastModifiedBy>
  <cp:lastPrinted>2011-07-20T19:24:11Z</cp:lastPrinted>
  <dcterms:created xsi:type="dcterms:W3CDTF">2011-07-20T18:14:04Z</dcterms:created>
  <dcterms:modified xsi:type="dcterms:W3CDTF">2019-03-23T04:00:39Z</dcterms:modified>
</cp:coreProperties>
</file>